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workbookProtection workbookPassword="DD51" lockStructure="1"/>
  <bookViews>
    <workbookView xWindow="0" yWindow="0" windowWidth="4920" windowHeight="4560" firstSheet="3" activeTab="3"/>
  </bookViews>
  <sheets>
    <sheet name="Precision and trueness" sheetId="6" r:id="rId1"/>
    <sheet name="P Calc" sheetId="7" state="hidden" r:id="rId2"/>
    <sheet name="Track changes" sheetId="8" state="hidden" r:id="rId3"/>
    <sheet name="Trueness, Reference material" sheetId="5" r:id="rId4"/>
  </sheets>
  <definedNames>
    <definedName name="Mean_Bias" localSheetId="1">#REF!</definedName>
    <definedName name="Mean_Bias" localSheetId="0">#REF!</definedName>
    <definedName name="Mean_Bias">#REF!</definedName>
    <definedName name="_xlnm.Print_Area" localSheetId="0">'Precision and trueness'!$A$1:$AH$41</definedName>
    <definedName name="_xlnm.Print_Area" localSheetId="3">'Trueness, Reference material'!$A$1:$T$34</definedName>
  </definedNames>
  <calcPr calcId="145621"/>
</workbook>
</file>

<file path=xl/calcChain.xml><?xml version="1.0" encoding="utf-8"?>
<calcChain xmlns="http://schemas.openxmlformats.org/spreadsheetml/2006/main">
  <c r="W11" i="5" l="1"/>
  <c r="W14" i="5"/>
  <c r="W13" i="5"/>
  <c r="W12" i="5"/>
  <c r="Z14" i="5" l="1"/>
  <c r="X14" i="5"/>
  <c r="Y14" i="5" s="1"/>
  <c r="Z12" i="5"/>
  <c r="X12" i="5"/>
  <c r="Y12" i="5" s="1"/>
  <c r="O6" i="5" l="1"/>
  <c r="D6" i="5"/>
  <c r="E6" i="5" s="1"/>
  <c r="N6" i="5"/>
  <c r="C6" i="5"/>
  <c r="P6" i="5"/>
  <c r="N7" i="5"/>
  <c r="T6" i="5"/>
  <c r="I6" i="5"/>
  <c r="AA2" i="7"/>
  <c r="W37" i="7"/>
  <c r="L4" i="7"/>
  <c r="M4" i="7"/>
  <c r="N4" i="7"/>
  <c r="O4" i="7"/>
  <c r="P4" i="7"/>
  <c r="Q4" i="7"/>
  <c r="R4" i="7"/>
  <c r="AD6" i="7"/>
  <c r="B4" i="7"/>
  <c r="C4" i="7"/>
  <c r="D4" i="7"/>
  <c r="E4" i="7"/>
  <c r="F4" i="7"/>
  <c r="G4" i="7"/>
  <c r="H4" i="7"/>
  <c r="AC6" i="7"/>
  <c r="AC11" i="6"/>
  <c r="R13" i="7"/>
  <c r="C28" i="7"/>
  <c r="C31" i="7" s="1"/>
  <c r="C30" i="7"/>
  <c r="C25" i="7"/>
  <c r="B28" i="7"/>
  <c r="B30" i="7"/>
  <c r="B25" i="7"/>
  <c r="C26" i="7"/>
  <c r="B26" i="7"/>
  <c r="C16" i="7"/>
  <c r="C17" i="7" s="1"/>
  <c r="C14" i="7"/>
  <c r="B16" i="7"/>
  <c r="B14" i="7"/>
  <c r="C12" i="7"/>
  <c r="B12" i="7"/>
  <c r="U4" i="7"/>
  <c r="T4" i="7"/>
  <c r="S4" i="7"/>
  <c r="K4" i="7"/>
  <c r="J4" i="7"/>
  <c r="I4" i="7"/>
  <c r="AA8" i="7"/>
  <c r="Z8" i="7"/>
  <c r="Z2" i="7"/>
  <c r="A32" i="7"/>
  <c r="A30" i="7"/>
  <c r="A29" i="7"/>
  <c r="A28" i="7"/>
  <c r="A27" i="7"/>
  <c r="A26" i="7"/>
  <c r="P42" i="6"/>
  <c r="P41" i="6"/>
  <c r="X39" i="6"/>
  <c r="X38" i="6"/>
  <c r="X37" i="6"/>
  <c r="X36" i="6"/>
  <c r="Z34" i="6"/>
  <c r="C27" i="7"/>
  <c r="X34" i="6"/>
  <c r="Z27" i="6"/>
  <c r="C13" i="7"/>
  <c r="X27" i="6"/>
  <c r="V20" i="6"/>
  <c r="U7" i="7" s="1"/>
  <c r="V18" i="6"/>
  <c r="V19" i="6" s="1"/>
  <c r="U5" i="7"/>
  <c r="U20" i="6"/>
  <c r="U18" i="6" s="1"/>
  <c r="U19" i="6" s="1"/>
  <c r="T5" i="7"/>
  <c r="T20" i="6"/>
  <c r="T17" i="6" s="1"/>
  <c r="S3" i="7" s="1"/>
  <c r="T16" i="6"/>
  <c r="S5" i="7"/>
  <c r="S20" i="6"/>
  <c r="S18" i="6" s="1"/>
  <c r="S19" i="6" s="1"/>
  <c r="R7" i="7"/>
  <c r="R5" i="7"/>
  <c r="R20" i="6"/>
  <c r="R16" i="6" s="1"/>
  <c r="Q5" i="7"/>
  <c r="Q20" i="6"/>
  <c r="P7" i="7" s="1"/>
  <c r="P5" i="7" s="1"/>
  <c r="P20" i="6"/>
  <c r="P18" i="6" s="1"/>
  <c r="O20" i="6"/>
  <c r="N7" i="7" s="1"/>
  <c r="N5" i="7" s="1"/>
  <c r="O16" i="6"/>
  <c r="N20" i="6"/>
  <c r="N18" i="6" s="1"/>
  <c r="M20" i="6"/>
  <c r="M17" i="6" s="1"/>
  <c r="L20" i="6"/>
  <c r="L16" i="6" s="1"/>
  <c r="K5" i="7"/>
  <c r="K20" i="6"/>
  <c r="K16" i="6" s="1"/>
  <c r="J5" i="7"/>
  <c r="J20" i="6"/>
  <c r="J17" i="6" s="1"/>
  <c r="I3" i="7" s="1"/>
  <c r="I5" i="7"/>
  <c r="I20" i="6"/>
  <c r="I16" i="6" s="1"/>
  <c r="H20" i="6"/>
  <c r="G7" i="7" s="1"/>
  <c r="G5" i="7"/>
  <c r="G20" i="6"/>
  <c r="G18" i="6" s="1"/>
  <c r="F20" i="6"/>
  <c r="F16" i="6" s="1"/>
  <c r="E20" i="6"/>
  <c r="L15" i="7" s="1"/>
  <c r="D20" i="6"/>
  <c r="D18" i="6" s="1"/>
  <c r="C20" i="6"/>
  <c r="B7" i="7" s="1"/>
  <c r="B5" i="7" s="1"/>
  <c r="AB19" i="6"/>
  <c r="U17" i="6"/>
  <c r="T3" i="7" s="1"/>
  <c r="S17" i="6"/>
  <c r="R3" i="7" s="1"/>
  <c r="R17" i="6"/>
  <c r="Q3" i="7" s="1"/>
  <c r="H17" i="6"/>
  <c r="G3" i="7" s="1"/>
  <c r="W14" i="6"/>
  <c r="W13" i="6"/>
  <c r="W12" i="6"/>
  <c r="AD11" i="6"/>
  <c r="R14" i="7" s="1"/>
  <c r="AB11" i="6"/>
  <c r="W11" i="6"/>
  <c r="W10" i="6"/>
  <c r="W9" i="6"/>
  <c r="W8" i="6"/>
  <c r="W7" i="6"/>
  <c r="W6" i="6"/>
  <c r="W5" i="6"/>
  <c r="AE4" i="6"/>
  <c r="AD8" i="6" s="1"/>
  <c r="AA4" i="6"/>
  <c r="AC8" i="6" s="1"/>
  <c r="Z2" i="6"/>
  <c r="Y2" i="6"/>
  <c r="M2" i="6"/>
  <c r="C2" i="6"/>
  <c r="P29" i="5"/>
  <c r="O30" i="5" s="1"/>
  <c r="E29" i="5"/>
  <c r="B31" i="5" s="1"/>
  <c r="L12" i="5"/>
  <c r="L13" i="5"/>
  <c r="L14" i="5"/>
  <c r="L15" i="5"/>
  <c r="L16" i="5"/>
  <c r="L17" i="5"/>
  <c r="L18" i="5"/>
  <c r="L19" i="5"/>
  <c r="L20" i="5"/>
  <c r="L11" i="5"/>
  <c r="I10" i="5"/>
  <c r="I11" i="5"/>
  <c r="I13" i="5"/>
  <c r="I19" i="5" s="1"/>
  <c r="T10" i="5"/>
  <c r="T11" i="5"/>
  <c r="T13" i="5"/>
  <c r="T19" i="5" s="1"/>
  <c r="L22" i="7"/>
  <c r="L26" i="7"/>
  <c r="L28" i="7"/>
  <c r="H5" i="7"/>
  <c r="Y9" i="6"/>
  <c r="L31" i="7"/>
  <c r="J8" i="7"/>
  <c r="R8" i="7"/>
  <c r="G8" i="7"/>
  <c r="K8" i="7"/>
  <c r="S8" i="7"/>
  <c r="T8" i="7"/>
  <c r="I8" i="7"/>
  <c r="Q8" i="7"/>
  <c r="U8" i="7"/>
  <c r="H8" i="7"/>
  <c r="P17" i="6"/>
  <c r="O3" i="7" s="1"/>
  <c r="C18" i="6"/>
  <c r="D16" i="6"/>
  <c r="J7" i="7"/>
  <c r="Q7" i="7"/>
  <c r="L23" i="7"/>
  <c r="L18" i="7"/>
  <c r="M18" i="6"/>
  <c r="U16" i="6"/>
  <c r="F17" i="6"/>
  <c r="E3" i="7" s="1"/>
  <c r="I7" i="7"/>
  <c r="O17" i="6"/>
  <c r="N3" i="7" s="1"/>
  <c r="L16" i="7"/>
  <c r="H18" i="6"/>
  <c r="H19" i="6" s="1"/>
  <c r="R18" i="6"/>
  <c r="R19" i="6" s="1"/>
  <c r="E7" i="7"/>
  <c r="E5" i="7"/>
  <c r="F18" i="6"/>
  <c r="I12" i="5" l="1"/>
  <c r="Z11" i="5" s="1"/>
  <c r="T12" i="5"/>
  <c r="Z13" i="5" s="1"/>
  <c r="I14" i="5"/>
  <c r="X11" i="5"/>
  <c r="Y11" i="5" s="1"/>
  <c r="T14" i="5"/>
  <c r="X13" i="5"/>
  <c r="Y13" i="5" s="1"/>
  <c r="O27" i="7"/>
  <c r="K18" i="6"/>
  <c r="K19" i="6" s="1"/>
  <c r="W32" i="7"/>
  <c r="C7" i="7"/>
  <c r="C5" i="7" s="1"/>
  <c r="F19" i="6"/>
  <c r="O31" i="7"/>
  <c r="L14" i="7"/>
  <c r="S7" i="7"/>
  <c r="D17" i="6"/>
  <c r="C3" i="7" s="1"/>
  <c r="L29" i="7"/>
  <c r="L32" i="7"/>
  <c r="K17" i="6"/>
  <c r="J3" i="7" s="1"/>
  <c r="Q16" i="6"/>
  <c r="E18" i="6"/>
  <c r="L21" i="7"/>
  <c r="L30" i="7"/>
  <c r="B30" i="5"/>
  <c r="T18" i="6"/>
  <c r="T19" i="6" s="1"/>
  <c r="L3" i="7"/>
  <c r="M19" i="6"/>
  <c r="W33" i="7"/>
  <c r="O16" i="7"/>
  <c r="Q16" i="7" s="1"/>
  <c r="W36" i="7"/>
  <c r="N17" i="7"/>
  <c r="L19" i="7"/>
  <c r="E17" i="6"/>
  <c r="D3" i="7" s="1"/>
  <c r="L27" i="7"/>
  <c r="N23" i="7"/>
  <c r="I17" i="6"/>
  <c r="H3" i="7" s="1"/>
  <c r="L17" i="6"/>
  <c r="K3" i="7" s="1"/>
  <c r="N14" i="7"/>
  <c r="O18" i="6"/>
  <c r="O19" i="6" s="1"/>
  <c r="T7" i="7"/>
  <c r="L25" i="7"/>
  <c r="N28" i="7"/>
  <c r="L7" i="7"/>
  <c r="L5" i="7" s="1"/>
  <c r="B22" i="6"/>
  <c r="B15" i="6" s="1"/>
  <c r="J16" i="6"/>
  <c r="L18" i="6"/>
  <c r="L19" i="6" s="1"/>
  <c r="N16" i="6"/>
  <c r="P16" i="6"/>
  <c r="S16" i="6"/>
  <c r="K7" i="7"/>
  <c r="D7" i="7"/>
  <c r="D5" i="7" s="1"/>
  <c r="V17" i="6"/>
  <c r="U3" i="7" s="1"/>
  <c r="N30" i="7"/>
  <c r="M16" i="6"/>
  <c r="Q18" i="6"/>
  <c r="W29" i="7"/>
  <c r="E16" i="6"/>
  <c r="Y11" i="6"/>
  <c r="AE7" i="7" s="1"/>
  <c r="AC14" i="6" s="1"/>
  <c r="H7" i="7"/>
  <c r="W24" i="7"/>
  <c r="G17" i="6"/>
  <c r="F3" i="7" s="1"/>
  <c r="I18" i="6"/>
  <c r="I19" i="6" s="1"/>
  <c r="P19" i="6"/>
  <c r="B17" i="7"/>
  <c r="B31" i="7"/>
  <c r="B16" i="6"/>
  <c r="L17" i="7"/>
  <c r="W35" i="7"/>
  <c r="F7" i="7"/>
  <c r="F5" i="7" s="1"/>
  <c r="AC4" i="7" s="1"/>
  <c r="N31" i="7"/>
  <c r="O19" i="7"/>
  <c r="Q19" i="7" s="1"/>
  <c r="L20" i="7"/>
  <c r="N27" i="7"/>
  <c r="W19" i="7"/>
  <c r="C16" i="6"/>
  <c r="O30" i="7"/>
  <c r="W17" i="7"/>
  <c r="Q17" i="6"/>
  <c r="P3" i="7" s="1"/>
  <c r="W30" i="7"/>
  <c r="W31" i="7"/>
  <c r="V4" i="7"/>
  <c r="H16" i="6"/>
  <c r="O22" i="7"/>
  <c r="Q22" i="7" s="1"/>
  <c r="V5" i="7"/>
  <c r="V6" i="7" s="1"/>
  <c r="W28" i="7"/>
  <c r="O20" i="7"/>
  <c r="Q20" i="7" s="1"/>
  <c r="N24" i="7"/>
  <c r="N32" i="7"/>
  <c r="Z4" i="7"/>
  <c r="O21" i="7"/>
  <c r="Q21" i="7" s="1"/>
  <c r="H13" i="7"/>
  <c r="N15" i="7"/>
  <c r="W18" i="7"/>
  <c r="N21" i="7"/>
  <c r="V16" i="6"/>
  <c r="G16" i="6"/>
  <c r="O28" i="7"/>
  <c r="W23" i="7"/>
  <c r="O18" i="7"/>
  <c r="Q18" i="7" s="1"/>
  <c r="N17" i="6"/>
  <c r="N19" i="6" s="1"/>
  <c r="O7" i="7"/>
  <c r="O5" i="7" s="1"/>
  <c r="AD4" i="7" s="1"/>
  <c r="N13" i="7"/>
  <c r="W21" i="7"/>
  <c r="N22" i="7"/>
  <c r="L24" i="7"/>
  <c r="O26" i="7"/>
  <c r="M7" i="7"/>
  <c r="M5" i="7" s="1"/>
  <c r="W34" i="7"/>
  <c r="Z9" i="6"/>
  <c r="Z11" i="6" s="1"/>
  <c r="AF7" i="7" s="1"/>
  <c r="AD14" i="6" s="1"/>
  <c r="N18" i="7"/>
  <c r="C17" i="6"/>
  <c r="N19" i="7"/>
  <c r="W26" i="7"/>
  <c r="O15" i="7"/>
  <c r="Q15" i="7" s="1"/>
  <c r="N29" i="7"/>
  <c r="O17" i="7"/>
  <c r="Q17" i="7" s="1"/>
  <c r="AA4" i="7"/>
  <c r="O32" i="7"/>
  <c r="O29" i="7"/>
  <c r="N16" i="7"/>
  <c r="O23" i="7"/>
  <c r="W22" i="7"/>
  <c r="O24" i="7"/>
  <c r="W27" i="7"/>
  <c r="N25" i="7"/>
  <c r="O13" i="7"/>
  <c r="W25" i="7"/>
  <c r="J18" i="6"/>
  <c r="J19" i="6" s="1"/>
  <c r="N20" i="7"/>
  <c r="W20" i="7"/>
  <c r="L13" i="7"/>
  <c r="O25" i="7"/>
  <c r="N26" i="7"/>
  <c r="O14" i="7"/>
  <c r="Q14" i="7" s="1"/>
  <c r="O31" i="5"/>
  <c r="T15" i="5" l="1"/>
  <c r="T16" i="5" s="1"/>
  <c r="I15" i="5"/>
  <c r="I17" i="5" s="1"/>
  <c r="D19" i="6"/>
  <c r="Z13" i="6"/>
  <c r="G19" i="6"/>
  <c r="E19" i="6"/>
  <c r="AG4" i="7"/>
  <c r="AE7" i="6" s="1"/>
  <c r="AD5" i="7"/>
  <c r="AF4" i="7"/>
  <c r="AA7" i="6" s="1"/>
  <c r="AC5" i="7"/>
  <c r="AA6" i="7"/>
  <c r="P18" i="7"/>
  <c r="P14" i="7"/>
  <c r="P15" i="7"/>
  <c r="P19" i="7"/>
  <c r="P21" i="7"/>
  <c r="Q13" i="7"/>
  <c r="P13" i="7"/>
  <c r="P22" i="7"/>
  <c r="P16" i="7"/>
  <c r="P17" i="7"/>
  <c r="P20" i="7"/>
  <c r="Y12" i="6"/>
  <c r="B3" i="7"/>
  <c r="Q19" i="6"/>
  <c r="Y13" i="6"/>
  <c r="Z3" i="7"/>
  <c r="Z5" i="7" s="1"/>
  <c r="Z7" i="7" s="1"/>
  <c r="Y8" i="6" s="1"/>
  <c r="E17" i="7" s="1"/>
  <c r="AA3" i="7"/>
  <c r="AA5" i="7" s="1"/>
  <c r="M3" i="7"/>
  <c r="Z12" i="6"/>
  <c r="C19" i="6"/>
  <c r="P27" i="7"/>
  <c r="P25" i="7"/>
  <c r="P23" i="7"/>
  <c r="Q24" i="7"/>
  <c r="Q29" i="7"/>
  <c r="P30" i="7"/>
  <c r="Q28" i="7"/>
  <c r="Q27" i="7"/>
  <c r="P32" i="7"/>
  <c r="Q23" i="7"/>
  <c r="P31" i="7"/>
  <c r="Q32" i="7"/>
  <c r="Q31" i="7"/>
  <c r="P26" i="7"/>
  <c r="P29" i="7"/>
  <c r="Q26" i="7"/>
  <c r="P24" i="7"/>
  <c r="Q25" i="7"/>
  <c r="P28" i="7"/>
  <c r="Q30" i="7"/>
  <c r="Z6" i="7"/>
  <c r="T17" i="5"/>
  <c r="T18" i="5" s="1"/>
  <c r="I16" i="5" l="1"/>
  <c r="I18" i="5" s="1"/>
  <c r="AF5" i="7"/>
  <c r="AD7" i="6"/>
  <c r="Z10" i="7"/>
  <c r="Y7" i="6"/>
  <c r="AA1" i="7"/>
  <c r="Z10" i="6" s="1"/>
  <c r="C24" i="7"/>
  <c r="B24" i="7"/>
  <c r="AA7" i="7"/>
  <c r="Z8" i="6" s="1"/>
  <c r="G17" i="7" s="1"/>
  <c r="C15" i="7" s="1"/>
  <c r="Z30" i="6" s="1"/>
  <c r="AH7" i="6"/>
  <c r="Z7" i="6"/>
  <c r="Z1" i="7"/>
  <c r="M8" i="7" s="1"/>
  <c r="Y14" i="6"/>
  <c r="Y15" i="6"/>
  <c r="Y18" i="6" s="1"/>
  <c r="AA8" i="6"/>
  <c r="AB7" i="6" s="1"/>
  <c r="Z9" i="7" s="1"/>
  <c r="AC7" i="6" s="1"/>
  <c r="AG5" i="7" l="1"/>
  <c r="B8" i="7"/>
  <c r="AA10" i="7"/>
  <c r="X29" i="7"/>
  <c r="X35" i="7"/>
  <c r="AD18" i="6"/>
  <c r="X32" i="7"/>
  <c r="AD17" i="6"/>
  <c r="X34" i="7"/>
  <c r="AD13" i="6"/>
  <c r="X28" i="7"/>
  <c r="X33" i="7"/>
  <c r="X31" i="7"/>
  <c r="X36" i="7"/>
  <c r="X27" i="7"/>
  <c r="X30" i="7"/>
  <c r="Y17" i="6"/>
  <c r="Y16" i="6"/>
  <c r="Z15" i="6"/>
  <c r="Z18" i="6" s="1"/>
  <c r="Z21" i="6" s="1"/>
  <c r="AE8" i="6"/>
  <c r="AF7" i="6" s="1"/>
  <c r="AA9" i="7" s="1"/>
  <c r="AG7" i="6" s="1"/>
  <c r="Z14" i="6"/>
  <c r="Y10" i="6"/>
  <c r="C8" i="7"/>
  <c r="L8" i="7"/>
  <c r="N8" i="7"/>
  <c r="O8" i="7"/>
  <c r="F8" i="7"/>
  <c r="D8" i="7"/>
  <c r="E8" i="7"/>
  <c r="P8" i="7"/>
  <c r="AD19" i="6" l="1"/>
  <c r="X19" i="7"/>
  <c r="X18" i="7"/>
  <c r="AC13" i="6"/>
  <c r="AC18" i="6"/>
  <c r="X21" i="7"/>
  <c r="X26" i="7"/>
  <c r="AC15" i="6"/>
  <c r="X20" i="7"/>
  <c r="X24" i="7"/>
  <c r="X25" i="7"/>
  <c r="X22" i="7"/>
  <c r="AC17" i="6"/>
  <c r="AC19" i="6" s="1"/>
  <c r="Y27" i="6"/>
  <c r="B13" i="7" s="1"/>
  <c r="B15" i="7" s="1"/>
  <c r="Y30" i="6" s="1"/>
  <c r="X17" i="7"/>
  <c r="Y34" i="6"/>
  <c r="B27" i="7" s="1"/>
  <c r="X23" i="7"/>
  <c r="Z16" i="6"/>
  <c r="Z17" i="6"/>
  <c r="B18" i="7"/>
  <c r="Y20" i="6"/>
  <c r="Y32" i="6"/>
  <c r="Y19" i="6"/>
  <c r="B20" i="7"/>
  <c r="Y21" i="6"/>
  <c r="Z17" i="7" l="1"/>
  <c r="Y17" i="7"/>
  <c r="Y26" i="7"/>
  <c r="Z26" i="7"/>
  <c r="B22" i="7"/>
  <c r="B21" i="7"/>
  <c r="B23" i="7" s="1"/>
  <c r="Y21" i="7"/>
  <c r="Z21" i="7"/>
  <c r="Y23" i="7"/>
  <c r="Z23" i="7"/>
  <c r="C20" i="7"/>
  <c r="Z19" i="6"/>
  <c r="Z22" i="7"/>
  <c r="Y22" i="7"/>
  <c r="Y22" i="6"/>
  <c r="Z32" i="6"/>
  <c r="C18" i="7"/>
  <c r="Z20" i="6"/>
  <c r="Z25" i="7"/>
  <c r="Y25" i="7"/>
  <c r="Y18" i="7"/>
  <c r="Z18" i="7"/>
  <c r="Y20" i="7"/>
  <c r="Z20" i="7"/>
  <c r="Y24" i="7"/>
  <c r="Z24" i="7"/>
  <c r="Y19" i="7"/>
  <c r="Z19" i="7"/>
  <c r="D23" i="7" l="1"/>
  <c r="E31" i="7"/>
  <c r="B29" i="7" s="1"/>
  <c r="Z22" i="6"/>
  <c r="AD15" i="6"/>
  <c r="Z27" i="7"/>
  <c r="Y32" i="7"/>
  <c r="Z33" i="7"/>
  <c r="Y29" i="7"/>
  <c r="Z34" i="7"/>
  <c r="Z29" i="7"/>
  <c r="Y27" i="7"/>
  <c r="Z32" i="7"/>
  <c r="Y35" i="7"/>
  <c r="Z31" i="7"/>
  <c r="Y30" i="7"/>
  <c r="Y36" i="7"/>
  <c r="Z35" i="7"/>
  <c r="Y31" i="7"/>
  <c r="Z28" i="7"/>
  <c r="Z30" i="7"/>
  <c r="Y34" i="7"/>
  <c r="Y28" i="7"/>
  <c r="Z36" i="7"/>
  <c r="Y33" i="7"/>
  <c r="C22" i="7"/>
  <c r="C21" i="7"/>
  <c r="C23" i="7" l="1"/>
  <c r="Y37" i="6"/>
  <c r="Y39" i="6"/>
  <c r="B32" i="7"/>
  <c r="F23" i="7" l="1"/>
  <c r="G31" i="7"/>
  <c r="C29" i="7" s="1"/>
  <c r="Z37" i="6" l="1"/>
  <c r="C32" i="7"/>
  <c r="Z39" i="6"/>
</calcChain>
</file>

<file path=xl/comments1.xml><?xml version="1.0" encoding="utf-8"?>
<comments xmlns="http://schemas.openxmlformats.org/spreadsheetml/2006/main">
  <authors>
    <author>Anders Kallner</author>
    <author>andkal</author>
  </authors>
  <commentList>
    <comment ref="X4" authorId="0">
      <text>
        <r>
          <rPr>
            <b/>
            <sz val="8"/>
            <color indexed="81"/>
            <rFont val="Tahoma"/>
            <family val="2"/>
          </rPr>
          <t>N</t>
        </r>
        <r>
          <rPr>
            <b/>
            <sz val="10"/>
            <color indexed="81"/>
            <rFont val="Tahoma"/>
            <family val="2"/>
          </rPr>
          <t>o calculations will be performed unless a component name is entered in cells S3 and T3, respectively</t>
        </r>
      </text>
    </comment>
    <comment ref="C5" authorId="0">
      <text>
        <r>
          <rPr>
            <b/>
            <sz val="12"/>
            <color indexed="10"/>
            <rFont val="Tahoma"/>
            <family val="2"/>
          </rPr>
          <t>Always begin entering data here!</t>
        </r>
      </text>
    </comment>
    <comment ref="M5" authorId="0">
      <text>
        <r>
          <rPr>
            <b/>
            <sz val="12"/>
            <color indexed="10"/>
            <rFont val="Tahoma"/>
            <family val="2"/>
          </rPr>
          <t>Always begin entering data here!</t>
        </r>
      </text>
    </comment>
    <comment ref="AC9" authorId="0">
      <text>
        <r>
          <rPr>
            <b/>
            <sz val="10"/>
            <color indexed="81"/>
            <rFont val="Tahoma"/>
            <family val="2"/>
          </rPr>
          <t>Target value of certified reference material or patient material measured by mentor laboratory</t>
        </r>
      </text>
    </comment>
    <comment ref="AC10" authorId="0">
      <text>
        <r>
          <rPr>
            <b/>
            <sz val="11"/>
            <color indexed="81"/>
            <rFont val="Tahoma"/>
            <family val="2"/>
          </rPr>
          <t>Uncertainty of target value, 1 sd =standard error</t>
        </r>
      </text>
    </comment>
    <comment ref="AC12" authorId="1">
      <text>
        <r>
          <rPr>
            <b/>
            <sz val="11"/>
            <color indexed="81"/>
            <rFont val="Tahoma"/>
            <family val="2"/>
          </rPr>
          <t>Assumed to be relative SEM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Y29" authorId="0">
      <text>
        <r>
          <rPr>
            <sz val="10"/>
            <color indexed="81"/>
            <rFont val="Tahoma"/>
            <family val="2"/>
          </rPr>
          <t>Defaults is 5 %</t>
        </r>
      </text>
    </comment>
    <comment ref="Y31" authorId="0">
      <text>
        <r>
          <rPr>
            <sz val="10"/>
            <color indexed="81"/>
            <rFont val="Tahoma"/>
            <family val="2"/>
          </rPr>
          <t>Defaults is 2.</t>
        </r>
      </text>
    </comment>
    <comment ref="G41" authorId="0">
      <text>
        <r>
          <rPr>
            <b/>
            <sz val="10"/>
            <color indexed="81"/>
            <rFont val="Tahoma"/>
            <family val="2"/>
          </rPr>
          <t>Enter any character to display graphs. Default is both positive.</t>
        </r>
      </text>
    </comment>
    <comment ref="Q41" authorId="0">
      <text>
        <r>
          <rPr>
            <b/>
            <sz val="10"/>
            <color indexed="81"/>
            <rFont val="Tahoma"/>
            <family val="2"/>
          </rPr>
          <t>Enter any character to display graphs. Default is both positive</t>
        </r>
      </text>
    </comment>
  </commentList>
</comments>
</file>

<file path=xl/comments2.xml><?xml version="1.0" encoding="utf-8"?>
<comments xmlns="http://schemas.openxmlformats.org/spreadsheetml/2006/main">
  <authors>
    <author>andkal</author>
    <author>Anders Kallner</author>
  </authors>
  <commentList>
    <comment ref="AC4" authorId="0">
      <text>
        <r>
          <rPr>
            <b/>
            <sz val="8"/>
            <color indexed="81"/>
            <rFont val="Tahoma"/>
            <family val="2"/>
          </rPr>
          <t>Miller 070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F4" authorId="1">
      <text>
        <r>
          <rPr>
            <b/>
            <sz val="10"/>
            <color indexed="81"/>
            <rFont val="Tahoma"/>
            <family val="2"/>
          </rPr>
          <t xml:space="preserve">(df between-1)*variance of group means, alt SSbet/(number of groups -1)
</t>
        </r>
      </text>
    </comment>
    <comment ref="A5" authorId="0">
      <text>
        <r>
          <rPr>
            <b/>
            <sz val="8"/>
            <color indexed="81"/>
            <rFont val="Tahoma"/>
            <family val="2"/>
          </rPr>
          <t>Miller p70</t>
        </r>
      </text>
    </comment>
    <comment ref="Z5" authorId="1">
      <text>
        <r>
          <rPr>
            <b/>
            <sz val="8"/>
            <color indexed="81"/>
            <rFont val="Tahoma"/>
            <family val="2"/>
          </rPr>
          <t>Aronsson et al. SJCLI 1978;38:53-62. Harmoniskt medeltal n0=(N^2-sumsq(ni))/(N*(t-1))</t>
        </r>
      </text>
    </comment>
    <comment ref="AC5" authorId="0">
      <text>
        <r>
          <rPr>
            <b/>
            <sz val="8"/>
            <color indexed="81"/>
            <rFont val="Tahoma"/>
            <family val="2"/>
          </rPr>
          <t>cf Miller p70</t>
        </r>
      </text>
    </comment>
    <comment ref="AC6" authorId="0">
      <text>
        <r>
          <rPr>
            <b/>
            <sz val="8"/>
            <color indexed="81"/>
            <rFont val="Tahoma"/>
            <family val="2"/>
          </rPr>
          <t>cf Miller p70</t>
        </r>
      </text>
    </comment>
    <comment ref="AE7" authorId="1">
      <text>
        <r>
          <rPr>
            <b/>
            <sz val="8"/>
            <color indexed="81"/>
            <rFont val="Tahoma"/>
            <family val="2"/>
          </rPr>
          <t>Help algorithm to blank cell if testname  is not entered</t>
        </r>
      </text>
    </comment>
    <comment ref="R13" authorId="1">
      <text>
        <r>
          <rPr>
            <b/>
            <sz val="8"/>
            <color indexed="81"/>
            <rFont val="Tahoma"/>
            <family val="2"/>
          </rPr>
          <t>Don't remove! Esential for logics</t>
        </r>
      </text>
    </comment>
    <comment ref="D23" authorId="1">
      <text>
        <r>
          <rPr>
            <b/>
            <sz val="8"/>
            <color indexed="81"/>
            <rFont val="Tahoma"/>
            <family val="2"/>
          </rPr>
          <t>Rounded T</t>
        </r>
      </text>
    </comment>
    <comment ref="F23" authorId="1">
      <text>
        <r>
          <rPr>
            <b/>
            <sz val="8"/>
            <color indexed="81"/>
            <rFont val="Tahoma"/>
            <family val="2"/>
          </rPr>
          <t>Rounded T</t>
        </r>
      </text>
    </comment>
  </commentList>
</comments>
</file>

<file path=xl/comments3.xml><?xml version="1.0" encoding="utf-8"?>
<comments xmlns="http://schemas.openxmlformats.org/spreadsheetml/2006/main">
  <authors>
    <author>Anders Kallner</author>
    <author>Anders</author>
  </authors>
  <commentList>
    <comment ref="C4" authorId="0">
      <text>
        <r>
          <rPr>
            <b/>
            <sz val="9"/>
            <color indexed="81"/>
            <rFont val="Tahoma"/>
            <family val="2"/>
          </rPr>
          <t>Claimed values</t>
        </r>
      </text>
    </comment>
    <comment ref="B10" authorId="1">
      <text>
        <r>
          <rPr>
            <b/>
            <sz val="8"/>
            <color indexed="81"/>
            <rFont val="Tahoma"/>
            <family val="2"/>
          </rPr>
          <t>Optional</t>
        </r>
      </text>
    </comment>
    <comment ref="C10" authorId="1">
      <text>
        <r>
          <rPr>
            <b/>
            <sz val="8"/>
            <color indexed="81"/>
            <rFont val="Tahoma"/>
            <family val="2"/>
          </rPr>
          <t>Optional</t>
        </r>
      </text>
    </comment>
    <comment ref="M10" authorId="1">
      <text>
        <r>
          <rPr>
            <b/>
            <sz val="8"/>
            <color indexed="81"/>
            <rFont val="Tahoma"/>
            <family val="2"/>
          </rPr>
          <t>Optional</t>
        </r>
      </text>
    </comment>
    <comment ref="N10" authorId="1">
      <text>
        <r>
          <rPr>
            <b/>
            <sz val="8"/>
            <color indexed="81"/>
            <rFont val="Tahoma"/>
            <family val="2"/>
          </rPr>
          <t>Optional</t>
        </r>
      </text>
    </comment>
  </commentList>
</comments>
</file>

<file path=xl/sharedStrings.xml><?xml version="1.0" encoding="utf-8"?>
<sst xmlns="http://schemas.openxmlformats.org/spreadsheetml/2006/main" count="253" uniqueCount="185">
  <si>
    <t>Number of obs:</t>
  </si>
  <si>
    <t xml:space="preserve">© Anders Kallner, Dept Clin Chem,   </t>
  </si>
  <si>
    <t>Mean:</t>
  </si>
  <si>
    <t>Conclusion:</t>
  </si>
  <si>
    <t>Group (day, series or instrument)</t>
  </si>
  <si>
    <t>1A</t>
  </si>
  <si>
    <t>2A</t>
  </si>
  <si>
    <t>3A</t>
  </si>
  <si>
    <t>4A</t>
  </si>
  <si>
    <t>5A</t>
  </si>
  <si>
    <t>6A</t>
  </si>
  <si>
    <t>7A</t>
  </si>
  <si>
    <t>1 B</t>
  </si>
  <si>
    <t>2 B</t>
  </si>
  <si>
    <t xml:space="preserve"> 3 B</t>
  </si>
  <si>
    <t>4 B</t>
  </si>
  <si>
    <t>5 B</t>
  </si>
  <si>
    <t>6 B</t>
  </si>
  <si>
    <t>7 B</t>
  </si>
  <si>
    <t>Component:</t>
  </si>
  <si>
    <t>Replicate</t>
  </si>
  <si>
    <t xml:space="preserve">F-crit </t>
  </si>
  <si>
    <t>MS</t>
  </si>
  <si>
    <t>F-value</t>
  </si>
  <si>
    <t>p-value</t>
  </si>
  <si>
    <t>(p=0,05)</t>
  </si>
  <si>
    <t>Repeatability variance:</t>
  </si>
  <si>
    <t>Number of observations:</t>
  </si>
  <si>
    <t>Target control value:</t>
  </si>
  <si>
    <t>SEM:</t>
  </si>
  <si>
    <t>Intermediary variance:</t>
  </si>
  <si>
    <t>Bias:</t>
  </si>
  <si>
    <t>Group mean:</t>
  </si>
  <si>
    <t>Repeatability (SD):</t>
  </si>
  <si>
    <t>z-score:</t>
  </si>
  <si>
    <t>Intermediary precision (SD):</t>
  </si>
  <si>
    <t>CV%:</t>
  </si>
  <si>
    <t>High ver value:</t>
  </si>
  <si>
    <t>Number obs:</t>
  </si>
  <si>
    <t>Repeatability (CV%):</t>
  </si>
  <si>
    <t>Low ver value:</t>
  </si>
  <si>
    <t>Intermediary precision (CV%):</t>
  </si>
  <si>
    <t xml:space="preserve">Uncertainty may be enterd as CV% or SD, however, </t>
  </si>
  <si>
    <t xml:space="preserve">Default values of rejection rate and 'level' are set to 5 % and 2. </t>
  </si>
  <si>
    <t>May be changed by operator.</t>
  </si>
  <si>
    <t>Claimed repeatability (SD):</t>
  </si>
  <si>
    <t>Claimed repeatability (CV%):</t>
  </si>
  <si>
    <t>False rejection rate  (%):</t>
  </si>
  <si>
    <t>Verification value:</t>
  </si>
  <si>
    <t>'Level':</t>
  </si>
  <si>
    <t>© Anders Kallner, Dept Clin Chem, Karolinska hospital, SE 171 76 Stockholm, SWEDEN,  anders@kallner.net</t>
  </si>
  <si>
    <t>Display target means:</t>
  </si>
  <si>
    <t>1B</t>
  </si>
  <si>
    <t>2B</t>
  </si>
  <si>
    <t>3B</t>
  </si>
  <si>
    <t>4B</t>
  </si>
  <si>
    <t>5B</t>
  </si>
  <si>
    <t>6B</t>
  </si>
  <si>
    <t>7B</t>
  </si>
  <si>
    <t>Mean</t>
  </si>
  <si>
    <t>SD</t>
  </si>
  <si>
    <t>Mean of groups</t>
  </si>
  <si>
    <t>Variance within groups</t>
  </si>
  <si>
    <t>Number of groups:</t>
  </si>
  <si>
    <t>sum(c4:c13)^2/number obs (sumTi2/n)</t>
  </si>
  <si>
    <t>Mean number of obs in groups:</t>
  </si>
  <si>
    <t>df between</t>
  </si>
  <si>
    <t>Total</t>
  </si>
  <si>
    <t>Number of obs/group</t>
  </si>
  <si>
    <t>df within</t>
  </si>
  <si>
    <t>Gr mean - tot mean</t>
  </si>
  <si>
    <t>F-dist:</t>
  </si>
  <si>
    <t>F-crit(0,05)</t>
  </si>
  <si>
    <t>Calc of verification value</t>
  </si>
  <si>
    <t>A</t>
  </si>
  <si>
    <t>B</t>
  </si>
  <si>
    <t>Graphs</t>
  </si>
  <si>
    <t>Manuf. claimed within CV%:</t>
  </si>
  <si>
    <t>X for obs</t>
  </si>
  <si>
    <t>X for target</t>
  </si>
  <si>
    <t>Target mean</t>
  </si>
  <si>
    <t>Target+2sd</t>
  </si>
  <si>
    <t>Target-2sd</t>
  </si>
  <si>
    <t>Manuf. claimed within SD:</t>
  </si>
  <si>
    <t>Level' (2, 3 or 4):</t>
  </si>
  <si>
    <t>x for found</t>
  </si>
  <si>
    <t>Found mean</t>
  </si>
  <si>
    <t>Found +2sd</t>
  </si>
  <si>
    <t>Found -2sd</t>
  </si>
  <si>
    <t>C:</t>
  </si>
  <si>
    <t>Evaluation</t>
  </si>
  <si>
    <t>Review !!</t>
  </si>
  <si>
    <t>Accept</t>
  </si>
  <si>
    <t>B:</t>
  </si>
  <si>
    <t>T (nominator):</t>
  </si>
  <si>
    <t>T (denominator):</t>
  </si>
  <si>
    <t>T</t>
  </si>
  <si>
    <t>Number of replicates</t>
  </si>
  <si>
    <t>Number of days:</t>
  </si>
  <si>
    <t>SWEDEN</t>
  </si>
  <si>
    <t>Karolinska hospital, SE 171 76 Stockholm</t>
  </si>
  <si>
    <t>y</t>
  </si>
  <si>
    <t>Date</t>
  </si>
  <si>
    <r>
      <t>u</t>
    </r>
    <r>
      <rPr>
        <vertAlign val="subscript"/>
        <sz val="12"/>
        <color indexed="12"/>
        <rFont val="Arial"/>
        <family val="2"/>
      </rPr>
      <t xml:space="preserve">target </t>
    </r>
    <r>
      <rPr>
        <sz val="10"/>
        <color indexed="12"/>
        <rFont val="Arial"/>
        <family val="2"/>
      </rPr>
      <t>(SEM)</t>
    </r>
    <r>
      <rPr>
        <sz val="12"/>
        <color indexed="12"/>
        <rFont val="Arial"/>
        <family val="2"/>
      </rPr>
      <t>:</t>
    </r>
  </si>
  <si>
    <r>
      <t>u</t>
    </r>
    <r>
      <rPr>
        <vertAlign val="subscript"/>
        <sz val="12"/>
        <color indexed="12"/>
        <rFont val="Arial"/>
        <family val="2"/>
      </rPr>
      <t xml:space="preserve">target </t>
    </r>
    <r>
      <rPr>
        <sz val="10"/>
        <color indexed="12"/>
        <rFont val="Arial"/>
        <family val="2"/>
      </rPr>
      <t>(CV%)</t>
    </r>
    <r>
      <rPr>
        <sz val="12"/>
        <color indexed="12"/>
        <rFont val="Arial"/>
        <family val="2"/>
      </rPr>
      <t>:</t>
    </r>
  </si>
  <si>
    <r>
      <t>a</t>
    </r>
    <r>
      <rPr>
        <sz val="10"/>
        <color indexed="12"/>
        <rFont val="Arial"/>
        <family val="2"/>
      </rPr>
      <t xml:space="preserve"> %</t>
    </r>
  </si>
  <si>
    <r>
      <t>u</t>
    </r>
    <r>
      <rPr>
        <vertAlign val="subscript"/>
        <sz val="12"/>
        <color indexed="10"/>
        <rFont val="Arial"/>
        <family val="2"/>
      </rPr>
      <t>bias</t>
    </r>
    <r>
      <rPr>
        <sz val="12"/>
        <color indexed="10"/>
        <rFont val="Arial"/>
        <family val="2"/>
      </rPr>
      <t>:</t>
    </r>
  </si>
  <si>
    <t>Between group df:</t>
  </si>
  <si>
    <t xml:space="preserve">Within group df: </t>
  </si>
  <si>
    <t>Component 1</t>
  </si>
  <si>
    <t>Component 2</t>
  </si>
  <si>
    <t>Display found means:</t>
  </si>
  <si>
    <t xml:space="preserve">The scale of the Y-axis is 'automatic' by default but can be adjusted individually via 'Format axis' and 'Scale'. </t>
  </si>
  <si>
    <t>It is usually sufficient to adjust the 'minimum level'.</t>
  </si>
  <si>
    <t>SD, if present takes precedence over CV%</t>
  </si>
  <si>
    <t>Replicate 1</t>
  </si>
  <si>
    <t>Replicate 2</t>
  </si>
  <si>
    <t>Operator</t>
  </si>
  <si>
    <t>St dev:</t>
  </si>
  <si>
    <t>Stand uncertainty:</t>
  </si>
  <si>
    <t>tbias:</t>
  </si>
  <si>
    <t>SEM</t>
  </si>
  <si>
    <t>Ver range:</t>
  </si>
  <si>
    <t>Ver interval low:</t>
  </si>
  <si>
    <t>Ver interval high:</t>
  </si>
  <si>
    <t>COMPONENT 2:</t>
  </si>
  <si>
    <t>COMPONENT 1:</t>
  </si>
  <si>
    <t>Run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</si>
  <si>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</si>
  <si>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</si>
  <si>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</si>
  <si>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</si>
  <si>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</si>
  <si>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</si>
  <si>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</si>
  <si>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</si>
  <si>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</si>
  <si>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</si>
  <si>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Intralaboratory variance:</t>
  </si>
  <si>
    <t>Intralaboratory imprecision(SD):</t>
  </si>
  <si>
    <t>Intralaboratory imprecision (CV%):</t>
  </si>
  <si>
    <t>Claimed intralab SD:</t>
  </si>
  <si>
    <t>Claimed intralab CV%:</t>
  </si>
  <si>
    <t>8A</t>
  </si>
  <si>
    <t>9A</t>
  </si>
  <si>
    <t>10A</t>
  </si>
  <si>
    <t>8B</t>
  </si>
  <si>
    <t>9B</t>
  </si>
  <si>
    <t>10B</t>
  </si>
  <si>
    <r>
      <t>SS</t>
    </r>
    <r>
      <rPr>
        <vertAlign val="subscript"/>
        <sz val="10"/>
        <rFont val="Arial"/>
        <family val="2"/>
      </rPr>
      <t>bet</t>
    </r>
    <r>
      <rPr>
        <sz val="10"/>
        <rFont val="Arial"/>
        <family val="2"/>
      </rPr>
      <t>:</t>
    </r>
  </si>
  <si>
    <r>
      <t>MS</t>
    </r>
    <r>
      <rPr>
        <vertAlign val="subscript"/>
        <sz val="10"/>
        <rFont val="Arial"/>
        <family val="2"/>
      </rPr>
      <t>bet</t>
    </r>
    <r>
      <rPr>
        <sz val="10"/>
        <rFont val="Arial"/>
        <family val="2"/>
      </rPr>
      <t>:</t>
    </r>
  </si>
  <si>
    <r>
      <t>SS</t>
    </r>
    <r>
      <rPr>
        <vertAlign val="subscript"/>
        <sz val="10"/>
        <rFont val="Arial"/>
        <family val="2"/>
      </rPr>
      <t>with</t>
    </r>
    <r>
      <rPr>
        <sz val="10"/>
        <rFont val="Arial"/>
        <family val="2"/>
      </rPr>
      <t>:</t>
    </r>
  </si>
  <si>
    <r>
      <t>MS</t>
    </r>
    <r>
      <rPr>
        <vertAlign val="subscript"/>
        <sz val="10"/>
        <rFont val="Arial"/>
        <family val="2"/>
      </rPr>
      <t>with</t>
    </r>
    <r>
      <rPr>
        <sz val="10"/>
        <rFont val="Arial"/>
        <family val="2"/>
      </rPr>
      <t>:</t>
    </r>
  </si>
  <si>
    <t>test 1</t>
  </si>
  <si>
    <t>test 2</t>
  </si>
  <si>
    <t>Mean ± SEM</t>
  </si>
  <si>
    <t>Version</t>
  </si>
  <si>
    <t>Change or amendment</t>
  </si>
  <si>
    <t>08-04-10</t>
  </si>
  <si>
    <t>Ändrat grf i Precison från SD till SEM</t>
  </si>
  <si>
    <t>Y-axelns beteckning nu i C52.</t>
  </si>
  <si>
    <t>08-04-24</t>
  </si>
  <si>
    <t>Korrigerat i P-Calc för att få med alla 10 obs.</t>
  </si>
  <si>
    <t>Lagt till Grupp medelvärden och SD av gruppmedelvärdena</t>
  </si>
  <si>
    <t>Mean of group means</t>
  </si>
  <si>
    <t>Mean of group SDs</t>
  </si>
  <si>
    <t>Version 3.04; 08-04-24</t>
  </si>
  <si>
    <t>Operator:</t>
  </si>
  <si>
    <t>Date:</t>
  </si>
  <si>
    <t>Calibrator:</t>
  </si>
  <si>
    <t>Reagents:</t>
  </si>
  <si>
    <t>Comments:</t>
  </si>
  <si>
    <t>Bias from reference material</t>
  </si>
  <si>
    <t>%CV</t>
  </si>
  <si>
    <t>Average</t>
  </si>
  <si>
    <t xml:space="preserve">                                                                                                                                                                    </t>
  </si>
  <si>
    <t>anders.kallner@ki.se</t>
  </si>
  <si>
    <t>Licenced to ACB 2018</t>
  </si>
  <si>
    <t>False rejection rate (α) (%):</t>
  </si>
  <si>
    <t>Version 14.1;18-07-21</t>
  </si>
  <si>
    <t>sem</t>
  </si>
  <si>
    <t>Ave</t>
  </si>
  <si>
    <t>line</t>
  </si>
  <si>
    <t>Indicator height</t>
  </si>
  <si>
    <t>Assigned value (r):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</si>
</sst>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0.000"/>
    <numFmt numFmtId="166" formatCode="0.0"/>
    <numFmt numFmtId="167" formatCode="0.0%"/>
  </numFmts>
  <fonts count="5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sz val="8"/>
      <color indexed="81"/>
      <name val="Tahoma"/>
      <family val="2"/>
    </font>
    <font>
      <i/>
      <sz val="10"/>
      <name val="Arial"/>
      <family val="2"/>
    </font>
    <font>
      <sz val="8"/>
      <color indexed="81"/>
      <name val="Tahoma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0"/>
      <color indexed="12"/>
      <name val="Symbol"/>
      <family val="1"/>
      <charset val="2"/>
    </font>
    <font>
      <vertAlign val="subscript"/>
      <sz val="10"/>
      <name val="Arial"/>
      <family val="2"/>
    </font>
    <font>
      <i/>
      <sz val="12"/>
      <color indexed="12"/>
      <name val="Arial"/>
      <family val="2"/>
    </font>
    <font>
      <b/>
      <sz val="11"/>
      <color indexed="81"/>
      <name val="Tahoma"/>
      <family val="2"/>
    </font>
    <font>
      <sz val="10"/>
      <color indexed="42"/>
      <name val="Arial"/>
      <family val="2"/>
    </font>
    <font>
      <b/>
      <sz val="10"/>
      <color indexed="21"/>
      <name val="Arial"/>
      <family val="2"/>
    </font>
    <font>
      <sz val="10"/>
      <color indexed="41"/>
      <name val="Arial"/>
      <family val="2"/>
    </font>
    <font>
      <b/>
      <sz val="14"/>
      <color indexed="10"/>
      <name val="Arial"/>
      <family val="2"/>
    </font>
    <font>
      <b/>
      <sz val="10"/>
      <color indexed="57"/>
      <name val="Arial"/>
      <family val="2"/>
    </font>
    <font>
      <b/>
      <sz val="10"/>
      <color indexed="81"/>
      <name val="Tahoma"/>
      <family val="2"/>
    </font>
    <font>
      <b/>
      <sz val="12"/>
      <color indexed="10"/>
      <name val="Tahoma"/>
      <family val="2"/>
    </font>
    <font>
      <b/>
      <sz val="12"/>
      <color indexed="12"/>
      <name val="Arial"/>
      <family val="2"/>
    </font>
    <font>
      <vertAlign val="subscript"/>
      <sz val="12"/>
      <color indexed="12"/>
      <name val="Arial"/>
      <family val="2"/>
    </font>
    <font>
      <sz val="12"/>
      <color indexed="12"/>
      <name val="Arial"/>
      <family val="2"/>
    </font>
    <font>
      <i/>
      <sz val="12"/>
      <color indexed="10"/>
      <name val="Arial"/>
      <family val="2"/>
    </font>
    <font>
      <vertAlign val="subscript"/>
      <sz val="12"/>
      <color indexed="10"/>
      <name val="Arial"/>
      <family val="2"/>
    </font>
    <font>
      <sz val="12"/>
      <color indexed="10"/>
      <name val="Arial"/>
      <family val="2"/>
    </font>
    <font>
      <sz val="12"/>
      <color indexed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color indexed="12"/>
      <name val="Arial"/>
      <family val="2"/>
    </font>
    <font>
      <sz val="12"/>
      <color indexed="10"/>
      <name val="Arial"/>
      <family val="2"/>
    </font>
    <font>
      <sz val="10"/>
      <color indexed="81"/>
      <name val="Tahoma"/>
      <family val="2"/>
    </font>
    <font>
      <b/>
      <i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27"/>
      <name val="Arial"/>
      <family val="2"/>
    </font>
    <font>
      <b/>
      <i/>
      <sz val="12"/>
      <color indexed="10"/>
      <name val="Arial"/>
      <family val="2"/>
    </font>
    <font>
      <sz val="12"/>
      <color indexed="42"/>
      <name val="Arial"/>
      <family val="2"/>
    </font>
    <font>
      <sz val="10"/>
      <color indexed="12"/>
      <name val="Arial"/>
      <family val="2"/>
    </font>
    <font>
      <sz val="10"/>
      <color rgb="FFFF0000"/>
      <name val="Arial"/>
      <family val="2"/>
    </font>
    <font>
      <sz val="10"/>
      <color rgb="FFCCFFCC"/>
      <name val="Arial"/>
      <family val="2"/>
    </font>
    <font>
      <sz val="10"/>
      <color rgb="FFCCFFFF"/>
      <name val="Arial"/>
      <family val="2"/>
    </font>
    <font>
      <sz val="12"/>
      <color rgb="FFFF0000"/>
      <name val="Arial"/>
      <family val="2"/>
    </font>
    <font>
      <sz val="12"/>
      <color rgb="FFCCFFCC"/>
      <name val="Arial"/>
      <family val="2"/>
    </font>
    <font>
      <b/>
      <i/>
      <sz val="12"/>
      <color rgb="FFFF0000"/>
      <name val="Arial"/>
      <family val="2"/>
    </font>
    <font>
      <b/>
      <sz val="14"/>
      <color rgb="FFFF0000"/>
      <name val="Arial"/>
      <family val="2"/>
    </font>
    <font>
      <sz val="12"/>
      <color rgb="FF00B050"/>
      <name val="Arial"/>
      <family val="2"/>
    </font>
    <font>
      <sz val="12"/>
      <color rgb="FF0000FF"/>
      <name val="Arial"/>
      <family val="2"/>
    </font>
    <font>
      <b/>
      <sz val="9"/>
      <color indexed="81"/>
      <name val="Tahoma"/>
      <family val="2"/>
    </font>
    <font>
      <sz val="10"/>
      <color rgb="FF0000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5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dashed">
        <color indexed="12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double">
        <color indexed="12"/>
      </bottom>
      <diagonal/>
    </border>
    <border>
      <left/>
      <right/>
      <top/>
      <bottom style="dashed">
        <color indexed="12"/>
      </bottom>
      <diagonal/>
    </border>
    <border>
      <left style="thin">
        <color indexed="12"/>
      </left>
      <right style="dashed">
        <color indexed="12"/>
      </right>
      <top style="double">
        <color indexed="12"/>
      </top>
      <bottom style="dotted">
        <color indexed="12"/>
      </bottom>
      <diagonal/>
    </border>
    <border>
      <left style="dashed">
        <color indexed="12"/>
      </left>
      <right style="dashed">
        <color indexed="12"/>
      </right>
      <top style="double">
        <color indexed="12"/>
      </top>
      <bottom style="dotted">
        <color indexed="12"/>
      </bottom>
      <diagonal/>
    </border>
    <border>
      <left style="dashed">
        <color indexed="12"/>
      </left>
      <right style="thin">
        <color indexed="12"/>
      </right>
      <top style="double">
        <color indexed="12"/>
      </top>
      <bottom style="dotted">
        <color indexed="12"/>
      </bottom>
      <diagonal/>
    </border>
    <border>
      <left style="thin">
        <color indexed="12"/>
      </left>
      <right style="dashed">
        <color indexed="12"/>
      </right>
      <top style="dotted">
        <color indexed="12"/>
      </top>
      <bottom style="dotted">
        <color indexed="12"/>
      </bottom>
      <diagonal/>
    </border>
    <border>
      <left style="dashed">
        <color indexed="12"/>
      </left>
      <right style="dashed">
        <color indexed="12"/>
      </right>
      <top style="dotted">
        <color indexed="12"/>
      </top>
      <bottom style="dotted">
        <color indexed="12"/>
      </bottom>
      <diagonal/>
    </border>
    <border>
      <left style="dashed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thin">
        <color indexed="12"/>
      </left>
      <right style="dashed">
        <color indexed="12"/>
      </right>
      <top style="dotted">
        <color indexed="12"/>
      </top>
      <bottom style="thin">
        <color indexed="12"/>
      </bottom>
      <diagonal/>
    </border>
    <border>
      <left style="dashed">
        <color indexed="12"/>
      </left>
      <right style="dashed">
        <color indexed="12"/>
      </right>
      <top style="dotted">
        <color indexed="12"/>
      </top>
      <bottom style="thin">
        <color indexed="12"/>
      </bottom>
      <diagonal/>
    </border>
    <border>
      <left style="dashed">
        <color indexed="12"/>
      </left>
      <right style="thin">
        <color indexed="12"/>
      </right>
      <top style="dotted">
        <color indexed="12"/>
      </top>
      <bottom style="thin">
        <color indexed="1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12"/>
      </bottom>
      <diagonal/>
    </border>
    <border>
      <left style="thin">
        <color indexed="10"/>
      </left>
      <right/>
      <top/>
      <bottom style="thin">
        <color indexed="12"/>
      </bottom>
      <diagonal/>
    </border>
    <border>
      <left style="medium">
        <color indexed="10"/>
      </left>
      <right style="thin">
        <color indexed="10"/>
      </right>
      <top/>
      <bottom style="thin">
        <color indexed="12"/>
      </bottom>
      <diagonal/>
    </border>
    <border>
      <left/>
      <right style="double">
        <color indexed="39"/>
      </right>
      <top/>
      <bottom/>
      <diagonal/>
    </border>
    <border>
      <left style="thin">
        <color indexed="10"/>
      </left>
      <right style="thin">
        <color indexed="12"/>
      </right>
      <top style="thin">
        <color indexed="10"/>
      </top>
      <bottom/>
      <diagonal/>
    </border>
    <border>
      <left style="thin">
        <color indexed="12"/>
      </left>
      <right style="hair">
        <color indexed="12"/>
      </right>
      <top style="thin">
        <color indexed="12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 style="thin">
        <color indexed="12"/>
      </top>
      <bottom style="hair">
        <color indexed="12"/>
      </bottom>
      <diagonal/>
    </border>
    <border>
      <left style="hair">
        <color indexed="12"/>
      </left>
      <right/>
      <top style="thin">
        <color indexed="12"/>
      </top>
      <bottom style="hair">
        <color indexed="12"/>
      </bottom>
      <diagonal/>
    </border>
    <border>
      <left/>
      <right/>
      <top style="thin">
        <color indexed="12"/>
      </top>
      <bottom style="hair">
        <color indexed="12"/>
      </bottom>
      <diagonal/>
    </border>
    <border>
      <left style="medium">
        <color indexed="12"/>
      </left>
      <right style="hair">
        <color indexed="12"/>
      </right>
      <top style="thin">
        <color indexed="12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thin">
        <color indexed="12"/>
      </top>
      <bottom style="hair">
        <color indexed="12"/>
      </bottom>
      <diagonal/>
    </border>
    <border>
      <left/>
      <right style="double">
        <color indexed="39"/>
      </right>
      <top/>
      <bottom style="double">
        <color indexed="10"/>
      </bottom>
      <diagonal/>
    </border>
    <border>
      <left style="double">
        <color indexed="12"/>
      </left>
      <right/>
      <top/>
      <bottom/>
      <diagonal/>
    </border>
    <border>
      <left style="thin">
        <color indexed="10"/>
      </left>
      <right style="thin">
        <color indexed="12"/>
      </right>
      <top/>
      <bottom/>
      <diagonal/>
    </border>
    <border>
      <left style="thin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12"/>
      </left>
      <right/>
      <top style="hair">
        <color indexed="12"/>
      </top>
      <bottom style="hair">
        <color indexed="12"/>
      </bottom>
      <diagonal/>
    </border>
    <border>
      <left/>
      <right/>
      <top style="hair">
        <color indexed="12"/>
      </top>
      <bottom style="hair">
        <color indexed="12"/>
      </bottom>
      <diagonal/>
    </border>
    <border>
      <left style="medium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10"/>
      </left>
      <right/>
      <top/>
      <bottom/>
      <diagonal/>
    </border>
    <border>
      <left style="thin">
        <color indexed="53"/>
      </left>
      <right/>
      <top style="thin">
        <color indexed="53"/>
      </top>
      <bottom style="thin">
        <color indexed="53"/>
      </bottom>
      <diagonal/>
    </border>
    <border>
      <left style="thin">
        <color indexed="10"/>
      </left>
      <right style="double">
        <color indexed="10"/>
      </right>
      <top style="thin">
        <color indexed="53"/>
      </top>
      <bottom style="thin">
        <color indexed="53"/>
      </bottom>
      <diagonal/>
    </border>
    <border>
      <left style="double">
        <color indexed="10"/>
      </left>
      <right/>
      <top/>
      <bottom style="double">
        <color indexed="10"/>
      </bottom>
      <diagonal/>
    </border>
    <border>
      <left style="thin">
        <color indexed="53"/>
      </left>
      <right/>
      <top style="thin">
        <color indexed="53"/>
      </top>
      <bottom style="double">
        <color indexed="10"/>
      </bottom>
      <diagonal/>
    </border>
    <border>
      <left style="thin">
        <color indexed="10"/>
      </left>
      <right style="double">
        <color indexed="10"/>
      </right>
      <top style="thin">
        <color indexed="53"/>
      </top>
      <bottom style="double">
        <color indexed="10"/>
      </bottom>
      <diagonal/>
    </border>
    <border>
      <left style="double">
        <color indexed="10"/>
      </left>
      <right/>
      <top style="double">
        <color indexed="10"/>
      </top>
      <bottom style="double">
        <color indexed="39"/>
      </bottom>
      <diagonal/>
    </border>
    <border>
      <left style="thin">
        <color indexed="10"/>
      </left>
      <right style="double">
        <color indexed="10"/>
      </right>
      <top style="double">
        <color indexed="10"/>
      </top>
      <bottom style="double">
        <color indexed="39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double">
        <color indexed="10"/>
      </right>
      <top/>
      <bottom style="thin">
        <color indexed="10"/>
      </bottom>
      <diagonal/>
    </border>
    <border>
      <left style="double">
        <color indexed="10"/>
      </left>
      <right style="double">
        <color indexed="39"/>
      </right>
      <top style="double">
        <color indexed="12"/>
      </top>
      <bottom style="double">
        <color indexed="12"/>
      </bottom>
      <diagonal/>
    </border>
    <border>
      <left style="double">
        <color indexed="39"/>
      </left>
      <right style="thin">
        <color indexed="39"/>
      </right>
      <top style="double">
        <color indexed="12"/>
      </top>
      <bottom style="double">
        <color indexed="12"/>
      </bottom>
      <diagonal/>
    </border>
    <border>
      <left style="thin">
        <color indexed="39"/>
      </left>
      <right style="thin">
        <color indexed="39"/>
      </right>
      <top style="double">
        <color indexed="39"/>
      </top>
      <bottom style="thin">
        <color indexed="39"/>
      </bottom>
      <diagonal/>
    </border>
    <border>
      <left style="thin">
        <color indexed="39"/>
      </left>
      <right style="double">
        <color indexed="39"/>
      </right>
      <top style="double">
        <color indexed="39"/>
      </top>
      <bottom style="thin">
        <color indexed="39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double">
        <color indexed="10"/>
      </right>
      <top style="thin">
        <color indexed="10"/>
      </top>
      <bottom style="thin">
        <color indexed="10"/>
      </bottom>
      <diagonal/>
    </border>
    <border>
      <left style="double">
        <color indexed="10"/>
      </left>
      <right style="thin">
        <color indexed="39"/>
      </right>
      <top/>
      <bottom/>
      <diagonal/>
    </border>
    <border>
      <left style="thin">
        <color indexed="39"/>
      </left>
      <right style="thin">
        <color indexed="39"/>
      </right>
      <top style="thin">
        <color indexed="39"/>
      </top>
      <bottom/>
      <diagonal/>
    </border>
    <border>
      <left style="thin">
        <color indexed="39"/>
      </left>
      <right style="double">
        <color indexed="39"/>
      </right>
      <top style="thin">
        <color indexed="39"/>
      </top>
      <bottom/>
      <diagonal/>
    </border>
    <border>
      <left style="thin">
        <color indexed="10"/>
      </left>
      <right/>
      <top style="thin">
        <color indexed="10"/>
      </top>
      <bottom style="double">
        <color indexed="10"/>
      </bottom>
      <diagonal/>
    </border>
    <border>
      <left style="thin">
        <color indexed="10"/>
      </left>
      <right style="double">
        <color indexed="10"/>
      </right>
      <top style="thin">
        <color indexed="10"/>
      </top>
      <bottom style="double">
        <color indexed="10"/>
      </bottom>
      <diagonal/>
    </border>
    <border>
      <left style="double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2"/>
      </top>
      <bottom style="thin">
        <color indexed="12"/>
      </bottom>
      <diagonal/>
    </border>
    <border>
      <left style="thin">
        <color indexed="10"/>
      </left>
      <right style="double">
        <color indexed="10"/>
      </right>
      <top style="thin">
        <color indexed="12"/>
      </top>
      <bottom style="thin">
        <color indexed="12"/>
      </bottom>
      <diagonal/>
    </border>
    <border>
      <left style="double">
        <color indexed="10"/>
      </left>
      <right style="thin">
        <color indexed="39"/>
      </right>
      <top style="thin">
        <color indexed="10"/>
      </top>
      <bottom style="thin">
        <color indexed="12"/>
      </bottom>
      <diagonal/>
    </border>
    <border>
      <left style="thin">
        <color indexed="39"/>
      </left>
      <right style="thin">
        <color indexed="39"/>
      </right>
      <top/>
      <bottom style="double">
        <color indexed="39"/>
      </bottom>
      <diagonal/>
    </border>
    <border>
      <left style="thin">
        <color indexed="39"/>
      </left>
      <right style="double">
        <color indexed="39"/>
      </right>
      <top/>
      <bottom style="double">
        <color indexed="12"/>
      </bottom>
      <diagonal/>
    </border>
    <border>
      <left style="double">
        <color indexed="39"/>
      </left>
      <right/>
      <top/>
      <bottom/>
      <diagonal/>
    </border>
    <border>
      <left style="thin">
        <color indexed="12"/>
      </left>
      <right style="hair">
        <color indexed="12"/>
      </right>
      <top style="hair">
        <color indexed="12"/>
      </top>
      <bottom/>
      <diagonal/>
    </border>
    <border>
      <left style="thin">
        <color indexed="10"/>
      </left>
      <right style="double">
        <color indexed="10"/>
      </right>
      <top style="double">
        <color indexed="12"/>
      </top>
      <bottom style="thin">
        <color indexed="10"/>
      </bottom>
      <diagonal/>
    </border>
    <border>
      <left style="thin">
        <color indexed="10"/>
      </left>
      <right style="thin">
        <color indexed="12"/>
      </right>
      <top/>
      <bottom style="thin">
        <color indexed="10"/>
      </bottom>
      <diagonal/>
    </border>
    <border>
      <left style="thin">
        <color indexed="12"/>
      </left>
      <right style="hair">
        <color indexed="12"/>
      </right>
      <top style="hair">
        <color indexed="12"/>
      </top>
      <bottom style="thin">
        <color indexed="12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thin">
        <color indexed="12"/>
      </bottom>
      <diagonal/>
    </border>
    <border>
      <left style="hair">
        <color indexed="12"/>
      </left>
      <right/>
      <top style="hair">
        <color indexed="12"/>
      </top>
      <bottom style="thin">
        <color indexed="12"/>
      </bottom>
      <diagonal/>
    </border>
    <border>
      <left/>
      <right/>
      <top style="hair">
        <color indexed="12"/>
      </top>
      <bottom style="thin">
        <color indexed="12"/>
      </bottom>
      <diagonal/>
    </border>
    <border>
      <left style="medium">
        <color indexed="12"/>
      </left>
      <right style="hair">
        <color indexed="12"/>
      </right>
      <top style="hair">
        <color indexed="12"/>
      </top>
      <bottom style="thin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thin">
        <color indexed="12"/>
      </bottom>
      <diagonal/>
    </border>
    <border>
      <left style="double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double">
        <color indexed="10"/>
      </right>
      <top style="thin">
        <color indexed="10"/>
      </top>
      <bottom/>
      <diagonal/>
    </border>
    <border>
      <left/>
      <right/>
      <top style="thin">
        <color indexed="12"/>
      </top>
      <bottom/>
      <diagonal/>
    </border>
    <border>
      <left/>
      <right style="double">
        <color indexed="10"/>
      </right>
      <top/>
      <bottom/>
      <diagonal/>
    </border>
    <border>
      <left style="double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medium">
        <color indexed="10"/>
      </left>
      <right/>
      <top style="double">
        <color indexed="10"/>
      </top>
      <bottom style="thin">
        <color indexed="10"/>
      </bottom>
      <diagonal/>
    </border>
    <border>
      <left style="thin">
        <color indexed="12"/>
      </left>
      <right style="thin">
        <color indexed="12"/>
      </right>
      <top style="double">
        <color indexed="12"/>
      </top>
      <bottom style="thin">
        <color indexed="12"/>
      </bottom>
      <diagonal/>
    </border>
    <border>
      <left style="thin">
        <color indexed="12"/>
      </left>
      <right style="medium">
        <color indexed="12"/>
      </right>
      <top style="double">
        <color indexed="12"/>
      </top>
      <bottom style="thin">
        <color indexed="12"/>
      </bottom>
      <diagonal/>
    </border>
    <border>
      <left style="medium">
        <color indexed="10"/>
      </left>
      <right/>
      <top/>
      <bottom/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medium">
        <color indexed="10"/>
      </right>
      <top/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/>
      <bottom style="medium">
        <color indexed="10"/>
      </bottom>
      <diagonal/>
    </border>
    <border>
      <left style="thin">
        <color indexed="10"/>
      </left>
      <right style="thin">
        <color indexed="10"/>
      </right>
      <top/>
      <bottom style="medium">
        <color indexed="10"/>
      </bottom>
      <diagonal/>
    </border>
    <border>
      <left style="thin">
        <color indexed="10"/>
      </left>
      <right style="medium">
        <color indexed="10"/>
      </right>
      <top/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double">
        <color indexed="10"/>
      </bottom>
      <diagonal/>
    </border>
    <border>
      <left style="thin">
        <color indexed="10"/>
      </left>
      <right style="double">
        <color indexed="10"/>
      </right>
      <top/>
      <bottom style="double">
        <color indexed="10"/>
      </bottom>
      <diagonal/>
    </border>
    <border>
      <left/>
      <right/>
      <top style="double">
        <color indexed="10"/>
      </top>
      <bottom/>
      <diagonal/>
    </border>
    <border>
      <left style="double">
        <color indexed="10"/>
      </left>
      <right/>
      <top style="double">
        <color indexed="10"/>
      </top>
      <bottom/>
      <diagonal/>
    </border>
    <border>
      <left style="thin">
        <color indexed="48"/>
      </left>
      <right style="thin">
        <color indexed="12"/>
      </right>
      <top style="double">
        <color indexed="48"/>
      </top>
      <bottom style="thin">
        <color indexed="48"/>
      </bottom>
      <diagonal/>
    </border>
    <border>
      <left style="thin">
        <color indexed="12"/>
      </left>
      <right style="double">
        <color indexed="48"/>
      </right>
      <top style="double">
        <color indexed="48"/>
      </top>
      <bottom style="thin">
        <color indexed="48"/>
      </bottom>
      <diagonal/>
    </border>
    <border>
      <left style="thin">
        <color indexed="10"/>
      </left>
      <right style="thin">
        <color indexed="10"/>
      </right>
      <top style="thin">
        <color indexed="48"/>
      </top>
      <bottom style="thin">
        <color indexed="48"/>
      </bottom>
      <diagonal/>
    </border>
    <border>
      <left style="thin">
        <color indexed="10"/>
      </left>
      <right style="double">
        <color indexed="10"/>
      </right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12"/>
      </right>
      <top style="thin">
        <color indexed="48"/>
      </top>
      <bottom style="thin">
        <color indexed="48"/>
      </bottom>
      <diagonal/>
    </border>
    <border>
      <left style="thin">
        <color indexed="12"/>
      </left>
      <right style="double">
        <color indexed="12"/>
      </right>
      <top style="thin">
        <color indexed="48"/>
      </top>
      <bottom style="thin">
        <color indexed="48"/>
      </bottom>
      <diagonal/>
    </border>
    <border>
      <left style="thin">
        <color indexed="10"/>
      </left>
      <right style="thin">
        <color indexed="10"/>
      </right>
      <top style="thin">
        <color indexed="48"/>
      </top>
      <bottom style="double">
        <color indexed="12"/>
      </bottom>
      <diagonal/>
    </border>
    <border>
      <left style="thin">
        <color indexed="48"/>
      </left>
      <right style="thin">
        <color indexed="12"/>
      </right>
      <top/>
      <bottom style="thin">
        <color indexed="48"/>
      </bottom>
      <diagonal/>
    </border>
    <border>
      <left style="thin">
        <color indexed="12"/>
      </left>
      <right style="double">
        <color indexed="48"/>
      </right>
      <top/>
      <bottom style="thin">
        <color indexed="48"/>
      </bottom>
      <diagonal/>
    </border>
    <border>
      <left style="thin">
        <color indexed="10"/>
      </left>
      <right style="thin">
        <color indexed="10"/>
      </right>
      <top style="thin">
        <color indexed="48"/>
      </top>
      <bottom style="double">
        <color indexed="10"/>
      </bottom>
      <diagonal/>
    </border>
    <border>
      <left style="double">
        <color indexed="12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thin">
        <color indexed="12"/>
      </right>
      <top style="double">
        <color indexed="12"/>
      </top>
      <bottom/>
      <diagonal/>
    </border>
    <border>
      <left style="thin">
        <color indexed="12"/>
      </left>
      <right style="double">
        <color indexed="48"/>
      </right>
      <top style="double">
        <color indexed="48"/>
      </top>
      <bottom style="thin">
        <color indexed="12"/>
      </bottom>
      <diagonal/>
    </border>
    <border>
      <left style="double">
        <color indexed="12"/>
      </left>
      <right/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>
      <left/>
      <right style="thin">
        <color indexed="12"/>
      </right>
      <top/>
      <bottom style="double">
        <color indexed="12"/>
      </bottom>
      <diagonal/>
    </border>
    <border>
      <left style="thin">
        <color indexed="12"/>
      </left>
      <right style="double">
        <color indexed="48"/>
      </right>
      <top style="thin">
        <color indexed="12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39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12"/>
      </left>
      <right/>
      <top style="thin">
        <color indexed="64"/>
      </top>
      <bottom/>
      <diagonal/>
    </border>
    <border>
      <left style="thin">
        <color indexed="12"/>
      </left>
      <right/>
      <top/>
      <bottom/>
      <diagonal/>
    </border>
    <border>
      <left/>
      <right style="thin">
        <color indexed="12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39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0"/>
      </left>
      <right style="thin">
        <color indexed="64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64"/>
      </right>
      <top style="thin">
        <color indexed="12"/>
      </top>
      <bottom style="thin">
        <color indexed="12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double">
        <color indexed="10"/>
      </left>
      <right style="thin">
        <color indexed="10"/>
      </right>
      <top/>
      <bottom style="double">
        <color indexed="10"/>
      </bottom>
      <diagonal/>
    </border>
    <border>
      <left style="double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12"/>
      </bottom>
      <diagonal/>
    </border>
    <border>
      <left/>
      <right/>
      <top style="thin">
        <color indexed="64"/>
      </top>
      <bottom style="thin">
        <color indexed="12"/>
      </bottom>
      <diagonal/>
    </border>
    <border>
      <left/>
      <right style="medium">
        <color indexed="10"/>
      </right>
      <top style="thin">
        <color indexed="64"/>
      </top>
      <bottom style="thin">
        <color indexed="12"/>
      </bottom>
      <diagonal/>
    </border>
    <border>
      <left style="medium">
        <color indexed="10"/>
      </left>
      <right/>
      <top style="thin">
        <color indexed="64"/>
      </top>
      <bottom style="thin">
        <color indexed="12"/>
      </bottom>
      <diagonal/>
    </border>
    <border>
      <left/>
      <right style="thin">
        <color indexed="64"/>
      </right>
      <top style="thin">
        <color indexed="64"/>
      </top>
      <bottom style="thin">
        <color indexed="12"/>
      </bottom>
      <diagonal/>
    </border>
    <border>
      <left style="double">
        <color indexed="39"/>
      </left>
      <right style="thin">
        <color indexed="39"/>
      </right>
      <top style="double">
        <color indexed="39"/>
      </top>
      <bottom/>
      <diagonal/>
    </border>
    <border>
      <left style="double">
        <color indexed="39"/>
      </left>
      <right style="thin">
        <color indexed="39"/>
      </right>
      <top/>
      <bottom style="double">
        <color indexed="39"/>
      </bottom>
      <diagonal/>
    </border>
    <border>
      <left style="thin">
        <color indexed="39"/>
      </left>
      <right/>
      <top style="double">
        <color indexed="39"/>
      </top>
      <bottom/>
      <diagonal/>
    </border>
    <border>
      <left style="thin">
        <color indexed="39"/>
      </left>
      <right/>
      <top/>
      <bottom style="double">
        <color indexed="39"/>
      </bottom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/>
      <top style="thin">
        <color rgb="FF0000FF"/>
      </top>
      <bottom/>
      <diagonal/>
    </border>
    <border>
      <left/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>
      <left/>
      <right style="thin">
        <color rgb="FF0000FF"/>
      </right>
      <top/>
      <bottom style="thin">
        <color rgb="FF0000FF"/>
      </bottom>
      <diagonal/>
    </border>
    <border>
      <left style="thin">
        <color rgb="FFFF0000"/>
      </left>
      <right style="thin">
        <color rgb="FFFF0000"/>
      </right>
      <top style="dotted">
        <color rgb="FFFF0000"/>
      </top>
      <bottom style="dotted">
        <color rgb="FFFF0000"/>
      </bottom>
      <diagonal/>
    </border>
    <border>
      <left/>
      <right/>
      <top style="dotted">
        <color indexed="64"/>
      </top>
      <bottom/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rgb="FFFF0000"/>
      </left>
      <right style="thin">
        <color rgb="FFFF0000"/>
      </right>
      <top style="dashed">
        <color rgb="FFFF0000"/>
      </top>
      <bottom style="dotted">
        <color rgb="FFFF0000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72">
    <xf numFmtId="0" fontId="0" fillId="0" borderId="0" xfId="0"/>
    <xf numFmtId="0" fontId="0" fillId="2" borderId="0" xfId="0" applyFill="1" applyProtection="1">
      <protection hidden="1"/>
    </xf>
    <xf numFmtId="0" fontId="9" fillId="2" borderId="0" xfId="0" applyFont="1" applyFill="1" applyProtection="1">
      <protection hidden="1"/>
    </xf>
    <xf numFmtId="0" fontId="17" fillId="2" borderId="0" xfId="0" applyFont="1" applyFill="1" applyProtection="1">
      <protection hidden="1"/>
    </xf>
    <xf numFmtId="0" fontId="11" fillId="3" borderId="1" xfId="1" applyFill="1" applyBorder="1" applyAlignment="1" applyProtection="1">
      <alignment horizontal="center"/>
      <protection hidden="1"/>
    </xf>
    <xf numFmtId="0" fontId="11" fillId="4" borderId="1" xfId="1" applyFill="1" applyBorder="1" applyAlignment="1" applyProtection="1">
      <alignment horizontal="center"/>
      <protection hidden="1"/>
    </xf>
    <xf numFmtId="0" fontId="11" fillId="3" borderId="2" xfId="1" applyFill="1" applyBorder="1" applyAlignment="1" applyProtection="1">
      <alignment horizontal="center"/>
      <protection hidden="1"/>
    </xf>
    <xf numFmtId="0" fontId="11" fillId="4" borderId="0" xfId="1" applyFill="1" applyBorder="1" applyAlignment="1" applyProtection="1">
      <alignment horizontal="center"/>
      <protection hidden="1"/>
    </xf>
    <xf numFmtId="0" fontId="1" fillId="0" borderId="0" xfId="0" applyFont="1"/>
    <xf numFmtId="0" fontId="3" fillId="2" borderId="0" xfId="0" applyFont="1" applyFill="1" applyProtection="1">
      <protection hidden="1"/>
    </xf>
    <xf numFmtId="0" fontId="32" fillId="2" borderId="0" xfId="0" applyFont="1" applyFill="1" applyProtection="1">
      <protection hidden="1"/>
    </xf>
    <xf numFmtId="0" fontId="33" fillId="2" borderId="0" xfId="0" applyFont="1" applyFill="1" applyAlignment="1" applyProtection="1">
      <alignment horizontal="right"/>
      <protection hidden="1"/>
    </xf>
    <xf numFmtId="0" fontId="32" fillId="2" borderId="3" xfId="0" applyFont="1" applyFill="1" applyBorder="1" applyProtection="1">
      <protection hidden="1"/>
    </xf>
    <xf numFmtId="0" fontId="32" fillId="2" borderId="0" xfId="0" applyFont="1" applyFill="1" applyBorder="1" applyProtection="1">
      <protection hidden="1"/>
    </xf>
    <xf numFmtId="0" fontId="26" fillId="2" borderId="0" xfId="0" applyFont="1" applyFill="1" applyAlignment="1" applyProtection="1">
      <alignment horizontal="right"/>
      <protection hidden="1"/>
    </xf>
    <xf numFmtId="0" fontId="29" fillId="2" borderId="0" xfId="0" applyFont="1" applyFill="1" applyProtection="1">
      <protection hidden="1"/>
    </xf>
    <xf numFmtId="0" fontId="26" fillId="2" borderId="0" xfId="0" applyFont="1" applyFill="1" applyProtection="1">
      <protection hidden="1"/>
    </xf>
    <xf numFmtId="0" fontId="9" fillId="2" borderId="0" xfId="0" applyFont="1" applyFill="1" applyBorder="1" applyAlignment="1" applyProtection="1">
      <protection hidden="1"/>
    </xf>
    <xf numFmtId="2" fontId="29" fillId="2" borderId="0" xfId="0" applyNumberFormat="1" applyFont="1" applyFill="1" applyProtection="1">
      <protection hidden="1"/>
    </xf>
    <xf numFmtId="0" fontId="29" fillId="2" borderId="0" xfId="0" applyFont="1" applyFill="1" applyAlignment="1" applyProtection="1">
      <alignment horizontal="center"/>
      <protection hidden="1"/>
    </xf>
    <xf numFmtId="0" fontId="12" fillId="2" borderId="0" xfId="0" applyFont="1" applyFill="1" applyProtection="1">
      <protection hidden="1"/>
    </xf>
    <xf numFmtId="0" fontId="34" fillId="2" borderId="0" xfId="0" applyFont="1" applyFill="1" applyAlignment="1" applyProtection="1">
      <alignment horizontal="right"/>
      <protection hidden="1"/>
    </xf>
    <xf numFmtId="0" fontId="30" fillId="2" borderId="0" xfId="0" applyFont="1" applyFill="1" applyAlignment="1" applyProtection="1">
      <alignment horizontal="right"/>
      <protection hidden="1"/>
    </xf>
    <xf numFmtId="0" fontId="33" fillId="2" borderId="0" xfId="0" applyFont="1" applyFill="1" applyBorder="1" applyAlignment="1" applyProtection="1">
      <alignment horizontal="center"/>
      <protection hidden="1"/>
    </xf>
    <xf numFmtId="0" fontId="26" fillId="4" borderId="5" xfId="0" applyFont="1" applyFill="1" applyBorder="1" applyAlignment="1" applyProtection="1">
      <alignment horizontal="center" wrapText="1"/>
      <protection hidden="1"/>
    </xf>
    <xf numFmtId="0" fontId="26" fillId="4" borderId="5" xfId="0" applyFont="1" applyFill="1" applyBorder="1" applyAlignment="1" applyProtection="1">
      <alignment horizontal="center" wrapText="1"/>
      <protection locked="0"/>
    </xf>
    <xf numFmtId="0" fontId="26" fillId="0" borderId="0" xfId="0" applyFont="1" applyFill="1" applyBorder="1" applyProtection="1">
      <protection locked="0"/>
    </xf>
    <xf numFmtId="0" fontId="30" fillId="0" borderId="6" xfId="0" applyFont="1" applyFill="1" applyBorder="1" applyAlignment="1" applyProtection="1">
      <alignment horizontal="center"/>
      <protection locked="0"/>
    </xf>
    <xf numFmtId="0" fontId="26" fillId="0" borderId="6" xfId="0" applyFont="1" applyFill="1" applyBorder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right"/>
      <protection hidden="1"/>
    </xf>
    <xf numFmtId="0" fontId="26" fillId="4" borderId="7" xfId="0" applyFont="1" applyFill="1" applyBorder="1" applyProtection="1">
      <protection locked="0"/>
    </xf>
    <xf numFmtId="0" fontId="26" fillId="4" borderId="8" xfId="0" applyFont="1" applyFill="1" applyBorder="1" applyProtection="1">
      <protection locked="0"/>
    </xf>
    <xf numFmtId="0" fontId="26" fillId="4" borderId="9" xfId="0" applyFont="1" applyFill="1" applyBorder="1" applyProtection="1">
      <protection locked="0"/>
    </xf>
    <xf numFmtId="0" fontId="26" fillId="4" borderId="10" xfId="0" applyFont="1" applyFill="1" applyBorder="1" applyProtection="1">
      <protection locked="0"/>
    </xf>
    <xf numFmtId="0" fontId="26" fillId="4" borderId="11" xfId="0" applyFont="1" applyFill="1" applyBorder="1" applyProtection="1">
      <protection locked="0"/>
    </xf>
    <xf numFmtId="0" fontId="26" fillId="4" borderId="12" xfId="0" applyFont="1" applyFill="1" applyBorder="1" applyProtection="1">
      <protection locked="0"/>
    </xf>
    <xf numFmtId="0" fontId="26" fillId="4" borderId="13" xfId="0" applyFont="1" applyFill="1" applyBorder="1" applyProtection="1">
      <protection locked="0"/>
    </xf>
    <xf numFmtId="0" fontId="26" fillId="4" borderId="14" xfId="0" applyFont="1" applyFill="1" applyBorder="1" applyProtection="1">
      <protection locked="0"/>
    </xf>
    <xf numFmtId="0" fontId="26" fillId="4" borderId="15" xfId="0" applyFont="1" applyFill="1" applyBorder="1" applyProtection="1">
      <protection locked="0"/>
    </xf>
    <xf numFmtId="0" fontId="40" fillId="2" borderId="0" xfId="0" applyFont="1" applyFill="1" applyProtection="1">
      <protection hidden="1"/>
    </xf>
    <xf numFmtId="0" fontId="41" fillId="2" borderId="0" xfId="0" applyFont="1" applyFill="1" applyProtection="1">
      <protection hidden="1"/>
    </xf>
    <xf numFmtId="0" fontId="10" fillId="3" borderId="16" xfId="2" applyFont="1" applyFill="1" applyBorder="1" applyAlignment="1" applyProtection="1">
      <alignment horizontal="center"/>
      <protection hidden="1"/>
    </xf>
    <xf numFmtId="0" fontId="18" fillId="3" borderId="17" xfId="2" applyFont="1" applyFill="1" applyBorder="1" applyProtection="1">
      <protection hidden="1"/>
    </xf>
    <xf numFmtId="0" fontId="1" fillId="3" borderId="17" xfId="2" applyFill="1" applyBorder="1" applyProtection="1">
      <protection hidden="1"/>
    </xf>
    <xf numFmtId="0" fontId="19" fillId="3" borderId="17" xfId="2" applyFont="1" applyFill="1" applyBorder="1" applyProtection="1">
      <protection hidden="1"/>
    </xf>
    <xf numFmtId="0" fontId="19" fillId="3" borderId="0" xfId="2" applyFont="1" applyFill="1" applyBorder="1" applyProtection="1">
      <protection hidden="1"/>
    </xf>
    <xf numFmtId="0" fontId="19" fillId="3" borderId="0" xfId="2" applyFont="1" applyFill="1" applyProtection="1">
      <protection hidden="1"/>
    </xf>
    <xf numFmtId="0" fontId="1" fillId="3" borderId="0" xfId="2" applyFill="1" applyProtection="1">
      <protection hidden="1"/>
    </xf>
    <xf numFmtId="0" fontId="1" fillId="0" borderId="0" xfId="2" applyProtection="1">
      <protection hidden="1"/>
    </xf>
    <xf numFmtId="0" fontId="1" fillId="3" borderId="18" xfId="2" applyFill="1" applyBorder="1" applyProtection="1">
      <protection hidden="1"/>
    </xf>
    <xf numFmtId="0" fontId="18" fillId="3" borderId="0" xfId="2" applyFont="1" applyFill="1" applyBorder="1" applyProtection="1">
      <protection hidden="1"/>
    </xf>
    <xf numFmtId="2" fontId="19" fillId="3" borderId="0" xfId="2" applyNumberFormat="1" applyFont="1" applyFill="1" applyBorder="1" applyProtection="1">
      <protection hidden="1"/>
    </xf>
    <xf numFmtId="0" fontId="5" fillId="4" borderId="0" xfId="1" applyFont="1" applyFill="1" applyBorder="1" applyAlignment="1" applyProtection="1">
      <alignment horizontal="center"/>
      <protection hidden="1"/>
    </xf>
    <xf numFmtId="0" fontId="1" fillId="3" borderId="0" xfId="2" applyFill="1" applyBorder="1" applyProtection="1">
      <protection hidden="1"/>
    </xf>
    <xf numFmtId="0" fontId="1" fillId="3" borderId="19" xfId="2" applyFill="1" applyBorder="1" applyProtection="1">
      <protection hidden="1"/>
    </xf>
    <xf numFmtId="0" fontId="1" fillId="4" borderId="0" xfId="2" applyFill="1" applyBorder="1" applyProtection="1">
      <protection hidden="1"/>
    </xf>
    <xf numFmtId="0" fontId="1" fillId="5" borderId="20" xfId="2" applyFill="1" applyBorder="1" applyAlignment="1" applyProtection="1">
      <alignment horizontal="center"/>
      <protection hidden="1"/>
    </xf>
    <xf numFmtId="0" fontId="1" fillId="5" borderId="21" xfId="2" applyFill="1" applyBorder="1" applyAlignment="1" applyProtection="1">
      <alignment horizontal="center"/>
      <protection hidden="1"/>
    </xf>
    <xf numFmtId="0" fontId="1" fillId="5" borderId="22" xfId="2" applyFill="1" applyBorder="1" applyAlignment="1" applyProtection="1">
      <alignment horizontal="center"/>
      <protection hidden="1"/>
    </xf>
    <xf numFmtId="0" fontId="1" fillId="3" borderId="0" xfId="2" applyFill="1" applyBorder="1" applyAlignment="1" applyProtection="1">
      <alignment horizontal="center"/>
      <protection hidden="1"/>
    </xf>
    <xf numFmtId="0" fontId="4" fillId="3" borderId="23" xfId="2" applyFont="1" applyFill="1" applyBorder="1" applyAlignment="1" applyProtection="1">
      <alignment horizontal="right"/>
      <protection hidden="1"/>
    </xf>
    <xf numFmtId="0" fontId="3" fillId="5" borderId="24" xfId="2" applyFont="1" applyFill="1" applyBorder="1" applyAlignment="1" applyProtection="1">
      <alignment horizontal="center" vertical="center"/>
      <protection hidden="1"/>
    </xf>
    <xf numFmtId="2" fontId="1" fillId="0" borderId="25" xfId="2" applyNumberFormat="1" applyBorder="1" applyProtection="1">
      <protection locked="0"/>
    </xf>
    <xf numFmtId="2" fontId="1" fillId="0" borderId="26" xfId="2" applyNumberFormat="1" applyBorder="1" applyProtection="1">
      <protection locked="0"/>
    </xf>
    <xf numFmtId="2" fontId="1" fillId="0" borderId="27" xfId="2" applyNumberFormat="1" applyBorder="1" applyProtection="1"/>
    <xf numFmtId="2" fontId="1" fillId="0" borderId="28" xfId="2" applyNumberFormat="1" applyBorder="1" applyProtection="1"/>
    <xf numFmtId="2" fontId="1" fillId="0" borderId="26" xfId="2" applyNumberFormat="1" applyBorder="1" applyProtection="1"/>
    <xf numFmtId="2" fontId="1" fillId="0" borderId="29" xfId="2" applyNumberFormat="1" applyBorder="1" applyProtection="1">
      <protection locked="0"/>
    </xf>
    <xf numFmtId="2" fontId="1" fillId="0" borderId="27" xfId="2" applyNumberFormat="1" applyBorder="1" applyProtection="1">
      <protection locked="0"/>
    </xf>
    <xf numFmtId="2" fontId="1" fillId="0" borderId="30" xfId="2" applyNumberFormat="1" applyBorder="1" applyProtection="1">
      <protection locked="0"/>
    </xf>
    <xf numFmtId="2" fontId="39" fillId="3" borderId="0" xfId="2" applyNumberFormat="1" applyFont="1" applyFill="1" applyProtection="1">
      <protection hidden="1"/>
    </xf>
    <xf numFmtId="0" fontId="1" fillId="3" borderId="31" xfId="2" applyFill="1" applyBorder="1" applyProtection="1">
      <protection hidden="1"/>
    </xf>
    <xf numFmtId="0" fontId="19" fillId="3" borderId="32" xfId="2" applyFont="1" applyFill="1" applyBorder="1" applyProtection="1">
      <protection hidden="1"/>
    </xf>
    <xf numFmtId="0" fontId="19" fillId="3" borderId="0" xfId="2" applyFont="1" applyFill="1" applyBorder="1" applyAlignment="1" applyProtection="1">
      <alignment horizontal="center"/>
      <protection hidden="1"/>
    </xf>
    <xf numFmtId="0" fontId="3" fillId="5" borderId="33" xfId="2" applyFont="1" applyFill="1" applyBorder="1" applyAlignment="1" applyProtection="1">
      <alignment horizontal="center" vertical="center"/>
      <protection hidden="1"/>
    </xf>
    <xf numFmtId="2" fontId="1" fillId="0" borderId="34" xfId="2" applyNumberFormat="1" applyBorder="1" applyProtection="1">
      <protection locked="0"/>
    </xf>
    <xf numFmtId="2" fontId="1" fillId="0" borderId="35" xfId="2" applyNumberFormat="1" applyBorder="1" applyProtection="1">
      <protection locked="0"/>
    </xf>
    <xf numFmtId="2" fontId="1" fillId="0" borderId="36" xfId="2" applyNumberFormat="1" applyBorder="1" applyProtection="1"/>
    <xf numFmtId="2" fontId="1" fillId="0" borderId="37" xfId="2" applyNumberFormat="1" applyBorder="1" applyProtection="1"/>
    <xf numFmtId="2" fontId="1" fillId="0" borderId="35" xfId="2" applyNumberFormat="1" applyBorder="1" applyProtection="1"/>
    <xf numFmtId="2" fontId="1" fillId="0" borderId="38" xfId="2" applyNumberFormat="1" applyBorder="1" applyProtection="1">
      <protection locked="0"/>
    </xf>
    <xf numFmtId="2" fontId="1" fillId="0" borderId="36" xfId="2" applyNumberFormat="1" applyBorder="1" applyProtection="1">
      <protection locked="0"/>
    </xf>
    <xf numFmtId="2" fontId="1" fillId="0" borderId="39" xfId="2" applyNumberFormat="1" applyBorder="1" applyProtection="1">
      <protection locked="0"/>
    </xf>
    <xf numFmtId="0" fontId="19" fillId="3" borderId="40" xfId="2" applyFont="1" applyFill="1" applyBorder="1" applyAlignment="1" applyProtection="1">
      <alignment horizontal="center"/>
      <protection hidden="1"/>
    </xf>
    <xf numFmtId="0" fontId="3" fillId="4" borderId="40" xfId="2" applyFont="1" applyFill="1" applyBorder="1" applyAlignment="1" applyProtection="1">
      <alignment horizontal="right"/>
      <protection hidden="1"/>
    </xf>
    <xf numFmtId="0" fontId="3" fillId="4" borderId="41" xfId="2" applyFont="1" applyFill="1" applyBorder="1" applyProtection="1">
      <protection hidden="1"/>
    </xf>
    <xf numFmtId="0" fontId="3" fillId="4" borderId="42" xfId="2" applyFont="1" applyFill="1" applyBorder="1" applyProtection="1">
      <protection hidden="1"/>
    </xf>
    <xf numFmtId="165" fontId="19" fillId="3" borderId="40" xfId="2" applyNumberFormat="1" applyFont="1" applyFill="1" applyBorder="1" applyProtection="1">
      <protection hidden="1"/>
    </xf>
    <xf numFmtId="2" fontId="19" fillId="3" borderId="0" xfId="2" applyNumberFormat="1" applyFont="1" applyFill="1" applyBorder="1" applyAlignment="1" applyProtection="1">
      <protection hidden="1"/>
    </xf>
    <xf numFmtId="2" fontId="19" fillId="3" borderId="0" xfId="2" applyNumberFormat="1" applyFont="1" applyFill="1" applyBorder="1" applyAlignment="1" applyProtection="1">
      <alignment horizontal="right"/>
      <protection hidden="1"/>
    </xf>
    <xf numFmtId="165" fontId="19" fillId="3" borderId="0" xfId="2" applyNumberFormat="1" applyFont="1" applyFill="1" applyBorder="1" applyProtection="1">
      <protection hidden="1"/>
    </xf>
    <xf numFmtId="0" fontId="3" fillId="4" borderId="43" xfId="2" applyFont="1" applyFill="1" applyBorder="1" applyAlignment="1" applyProtection="1">
      <alignment horizontal="right"/>
      <protection hidden="1"/>
    </xf>
    <xf numFmtId="1" fontId="3" fillId="4" borderId="44" xfId="2" applyNumberFormat="1" applyFont="1" applyFill="1" applyBorder="1" applyProtection="1">
      <protection hidden="1"/>
    </xf>
    <xf numFmtId="1" fontId="3" fillId="4" borderId="45" xfId="2" applyNumberFormat="1" applyFont="1" applyFill="1" applyBorder="1" applyProtection="1">
      <protection hidden="1"/>
    </xf>
    <xf numFmtId="0" fontId="3" fillId="0" borderId="46" xfId="2" applyFont="1" applyFill="1" applyBorder="1" applyAlignment="1" applyProtection="1">
      <alignment horizontal="center"/>
      <protection hidden="1"/>
    </xf>
    <xf numFmtId="0" fontId="3" fillId="0" borderId="47" xfId="2" applyFont="1" applyFill="1" applyBorder="1" applyAlignment="1" applyProtection="1">
      <alignment horizontal="center"/>
      <protection hidden="1"/>
    </xf>
    <xf numFmtId="0" fontId="3" fillId="4" borderId="48" xfId="2" applyFont="1" applyFill="1" applyBorder="1" applyProtection="1">
      <protection hidden="1"/>
    </xf>
    <xf numFmtId="0" fontId="3" fillId="4" borderId="49" xfId="2" applyFont="1" applyFill="1" applyBorder="1" applyProtection="1">
      <protection hidden="1"/>
    </xf>
    <xf numFmtId="0" fontId="1" fillId="4" borderId="50" xfId="2" applyFill="1" applyBorder="1" applyAlignment="1" applyProtection="1">
      <alignment vertical="center"/>
      <protection hidden="1"/>
    </xf>
    <xf numFmtId="0" fontId="5" fillId="4" borderId="51" xfId="2" applyFont="1" applyFill="1" applyBorder="1" applyAlignment="1" applyProtection="1">
      <alignment horizontal="right" vertical="center"/>
      <protection hidden="1"/>
    </xf>
    <xf numFmtId="166" fontId="38" fillId="4" borderId="52" xfId="2" applyNumberFormat="1" applyFont="1" applyFill="1" applyBorder="1" applyAlignment="1" applyProtection="1">
      <alignment vertical="center"/>
      <protection locked="0"/>
    </xf>
    <xf numFmtId="166" fontId="38" fillId="0" borderId="53" xfId="2" applyNumberFormat="1" applyFont="1" applyBorder="1" applyAlignment="1" applyProtection="1">
      <alignment vertical="center"/>
      <protection locked="0"/>
    </xf>
    <xf numFmtId="2" fontId="3" fillId="4" borderId="54" xfId="2" applyNumberFormat="1" applyFont="1" applyFill="1" applyBorder="1" applyProtection="1">
      <protection hidden="1"/>
    </xf>
    <xf numFmtId="2" fontId="3" fillId="4" borderId="55" xfId="2" applyNumberFormat="1" applyFont="1" applyFill="1" applyBorder="1" applyProtection="1">
      <protection hidden="1"/>
    </xf>
    <xf numFmtId="0" fontId="15" fillId="4" borderId="56" xfId="2" applyFont="1" applyFill="1" applyBorder="1" applyAlignment="1" applyProtection="1">
      <alignment horizontal="right" vertical="center"/>
      <protection hidden="1"/>
    </xf>
    <xf numFmtId="0" fontId="38" fillId="4" borderId="57" xfId="2" applyFont="1" applyFill="1" applyBorder="1" applyAlignment="1" applyProtection="1">
      <alignment vertical="center"/>
      <protection locked="0"/>
    </xf>
    <xf numFmtId="0" fontId="38" fillId="0" borderId="58" xfId="2" applyFont="1" applyBorder="1" applyAlignment="1" applyProtection="1">
      <alignment vertical="center"/>
      <protection locked="0"/>
    </xf>
    <xf numFmtId="165" fontId="3" fillId="4" borderId="59" xfId="2" applyNumberFormat="1" applyFont="1" applyFill="1" applyBorder="1" applyAlignment="1" applyProtection="1">
      <alignment vertical="center"/>
      <protection hidden="1"/>
    </xf>
    <xf numFmtId="165" fontId="3" fillId="4" borderId="60" xfId="2" applyNumberFormat="1" applyFont="1" applyFill="1" applyBorder="1" applyAlignment="1" applyProtection="1">
      <alignment vertical="center"/>
      <protection hidden="1"/>
    </xf>
    <xf numFmtId="0" fontId="4" fillId="0" borderId="61" xfId="2" applyFont="1" applyFill="1" applyBorder="1" applyAlignment="1" applyProtection="1">
      <alignment horizontal="right"/>
      <protection hidden="1"/>
    </xf>
    <xf numFmtId="0" fontId="4" fillId="0" borderId="62" xfId="2" applyFont="1" applyFill="1" applyBorder="1" applyProtection="1">
      <protection hidden="1"/>
    </xf>
    <xf numFmtId="2" fontId="4" fillId="0" borderId="63" xfId="2" applyNumberFormat="1" applyFont="1" applyFill="1" applyBorder="1" applyProtection="1">
      <protection hidden="1"/>
    </xf>
    <xf numFmtId="165" fontId="3" fillId="4" borderId="48" xfId="2" applyNumberFormat="1" applyFont="1" applyFill="1" applyBorder="1" applyProtection="1">
      <protection hidden="1"/>
    </xf>
    <xf numFmtId="165" fontId="3" fillId="4" borderId="49" xfId="2" applyNumberFormat="1" applyFont="1" applyFill="1" applyBorder="1" applyProtection="1">
      <protection hidden="1"/>
    </xf>
    <xf numFmtId="0" fontId="15" fillId="0" borderId="64" xfId="2" applyFont="1" applyFill="1" applyBorder="1" applyAlignment="1" applyProtection="1">
      <alignment horizontal="right"/>
      <protection hidden="1"/>
    </xf>
    <xf numFmtId="0" fontId="42" fillId="4" borderId="65" xfId="2" applyFont="1" applyFill="1" applyBorder="1" applyProtection="1">
      <protection locked="0"/>
    </xf>
    <xf numFmtId="0" fontId="42" fillId="0" borderId="66" xfId="2" applyFont="1" applyFill="1" applyBorder="1" applyProtection="1">
      <protection locked="0"/>
    </xf>
    <xf numFmtId="0" fontId="1" fillId="3" borderId="67" xfId="2" applyFill="1" applyBorder="1" applyProtection="1">
      <protection hidden="1"/>
    </xf>
    <xf numFmtId="2" fontId="1" fillId="0" borderId="68" xfId="2" applyNumberFormat="1" applyBorder="1" applyProtection="1">
      <protection locked="0"/>
    </xf>
    <xf numFmtId="165" fontId="3" fillId="4" borderId="54" xfId="2" applyNumberFormat="1" applyFont="1" applyFill="1" applyBorder="1" applyAlignment="1" applyProtection="1">
      <alignment horizontal="right"/>
      <protection hidden="1"/>
    </xf>
    <xf numFmtId="165" fontId="3" fillId="4" borderId="55" xfId="2" applyNumberFormat="1" applyFont="1" applyFill="1" applyBorder="1" applyProtection="1">
      <protection hidden="1"/>
    </xf>
    <xf numFmtId="165" fontId="3" fillId="4" borderId="69" xfId="2" applyNumberFormat="1" applyFont="1" applyFill="1" applyBorder="1" applyProtection="1">
      <protection hidden="1"/>
    </xf>
    <xf numFmtId="0" fontId="3" fillId="5" borderId="70" xfId="2" applyFont="1" applyFill="1" applyBorder="1" applyAlignment="1" applyProtection="1">
      <alignment horizontal="center" vertical="center"/>
      <protection hidden="1"/>
    </xf>
    <xf numFmtId="2" fontId="1" fillId="0" borderId="71" xfId="2" applyNumberFormat="1" applyBorder="1" applyProtection="1">
      <protection locked="0"/>
    </xf>
    <xf numFmtId="2" fontId="1" fillId="0" borderId="72" xfId="2" applyNumberFormat="1" applyBorder="1" applyProtection="1">
      <protection locked="0"/>
    </xf>
    <xf numFmtId="2" fontId="1" fillId="0" borderId="73" xfId="2" applyNumberFormat="1" applyBorder="1" applyProtection="1"/>
    <xf numFmtId="2" fontId="1" fillId="0" borderId="74" xfId="2" applyNumberFormat="1" applyBorder="1" applyProtection="1"/>
    <xf numFmtId="2" fontId="1" fillId="0" borderId="75" xfId="2" applyNumberFormat="1" applyBorder="1" applyProtection="1">
      <protection locked="0"/>
    </xf>
    <xf numFmtId="2" fontId="1" fillId="0" borderId="73" xfId="2" applyNumberFormat="1" applyBorder="1" applyProtection="1">
      <protection locked="0"/>
    </xf>
    <xf numFmtId="2" fontId="1" fillId="0" borderId="76" xfId="2" applyNumberFormat="1" applyBorder="1" applyProtection="1">
      <protection locked="0"/>
    </xf>
    <xf numFmtId="0" fontId="3" fillId="4" borderId="77" xfId="2" applyFont="1" applyFill="1" applyBorder="1" applyAlignment="1" applyProtection="1">
      <alignment horizontal="right"/>
      <protection hidden="1"/>
    </xf>
    <xf numFmtId="165" fontId="3" fillId="4" borderId="54" xfId="2" applyNumberFormat="1" applyFont="1" applyFill="1" applyBorder="1" applyProtection="1">
      <protection hidden="1"/>
    </xf>
    <xf numFmtId="0" fontId="27" fillId="4" borderId="40" xfId="2" applyFont="1" applyFill="1" applyBorder="1" applyAlignment="1" applyProtection="1">
      <alignment horizontal="right"/>
      <protection hidden="1"/>
    </xf>
    <xf numFmtId="165" fontId="3" fillId="4" borderId="4" xfId="2" applyNumberFormat="1" applyFont="1" applyFill="1" applyBorder="1" applyProtection="1">
      <protection hidden="1"/>
    </xf>
    <xf numFmtId="165" fontId="3" fillId="4" borderId="78" xfId="2" applyNumberFormat="1" applyFont="1" applyFill="1" applyBorder="1" applyProtection="1">
      <protection hidden="1"/>
    </xf>
    <xf numFmtId="0" fontId="20" fillId="6" borderId="0" xfId="2" applyFont="1" applyFill="1" applyBorder="1" applyAlignment="1" applyProtection="1">
      <alignment horizontal="center" vertical="center" textRotation="90"/>
      <protection hidden="1"/>
    </xf>
    <xf numFmtId="0" fontId="36" fillId="3" borderId="0" xfId="2" applyFont="1" applyFill="1" applyBorder="1" applyAlignment="1" applyProtection="1">
      <alignment horizontal="left" vertical="center"/>
      <protection hidden="1"/>
    </xf>
    <xf numFmtId="2" fontId="1" fillId="6" borderId="0" xfId="2" applyNumberFormat="1" applyFill="1" applyBorder="1" applyProtection="1">
      <protection hidden="1"/>
    </xf>
    <xf numFmtId="2" fontId="1" fillId="6" borderId="79" xfId="2" applyNumberFormat="1" applyFill="1" applyBorder="1" applyProtection="1">
      <protection hidden="1"/>
    </xf>
    <xf numFmtId="2" fontId="1" fillId="3" borderId="80" xfId="2" applyNumberFormat="1" applyFill="1" applyBorder="1" applyProtection="1">
      <protection hidden="1"/>
    </xf>
    <xf numFmtId="0" fontId="3" fillId="0" borderId="81" xfId="2" applyFont="1" applyFill="1" applyBorder="1" applyAlignment="1" applyProtection="1">
      <alignment horizontal="right"/>
      <protection hidden="1"/>
    </xf>
    <xf numFmtId="2" fontId="3" fillId="0" borderId="82" xfId="2" applyNumberFormat="1" applyFont="1" applyFill="1" applyBorder="1" applyProtection="1">
      <protection hidden="1"/>
    </xf>
    <xf numFmtId="2" fontId="3" fillId="0" borderId="78" xfId="2" applyNumberFormat="1" applyFont="1" applyFill="1" applyBorder="1" applyProtection="1">
      <protection hidden="1"/>
    </xf>
    <xf numFmtId="0" fontId="13" fillId="4" borderId="83" xfId="2" applyFont="1" applyFill="1" applyBorder="1" applyAlignment="1" applyProtection="1">
      <alignment horizontal="right"/>
      <protection hidden="1"/>
    </xf>
    <xf numFmtId="0" fontId="38" fillId="4" borderId="84" xfId="2" applyFont="1" applyFill="1" applyBorder="1" applyProtection="1">
      <protection locked="0"/>
    </xf>
    <xf numFmtId="0" fontId="38" fillId="4" borderId="85" xfId="2" applyFont="1" applyFill="1" applyBorder="1" applyProtection="1">
      <protection locked="0"/>
    </xf>
    <xf numFmtId="0" fontId="20" fillId="3" borderId="0" xfId="2" applyFont="1" applyFill="1" applyBorder="1" applyAlignment="1" applyProtection="1">
      <alignment horizontal="center" vertical="center" textRotation="90"/>
      <protection hidden="1"/>
    </xf>
    <xf numFmtId="0" fontId="3" fillId="3" borderId="0" xfId="2" applyFont="1" applyFill="1" applyBorder="1" applyAlignment="1" applyProtection="1">
      <alignment horizontal="right"/>
      <protection hidden="1"/>
    </xf>
    <xf numFmtId="2" fontId="3" fillId="3" borderId="0" xfId="2" applyNumberFormat="1" applyFont="1" applyFill="1" applyBorder="1" applyProtection="1">
      <protection hidden="1"/>
    </xf>
    <xf numFmtId="2" fontId="3" fillId="3" borderId="86" xfId="2" applyNumberFormat="1" applyFont="1" applyFill="1" applyBorder="1" applyProtection="1">
      <protection hidden="1"/>
    </xf>
    <xf numFmtId="165" fontId="3" fillId="3" borderId="80" xfId="2" applyNumberFormat="1" applyFont="1" applyFill="1" applyBorder="1" applyProtection="1">
      <protection hidden="1"/>
    </xf>
    <xf numFmtId="0" fontId="7" fillId="3" borderId="0" xfId="2" applyFont="1" applyFill="1" applyBorder="1" applyAlignment="1" applyProtection="1">
      <alignment horizontal="center"/>
      <protection hidden="1"/>
    </xf>
    <xf numFmtId="0" fontId="3" fillId="4" borderId="87" xfId="2" applyFont="1" applyFill="1" applyBorder="1" applyProtection="1">
      <protection hidden="1"/>
    </xf>
    <xf numFmtId="166" fontId="3" fillId="4" borderId="88" xfId="2" applyNumberFormat="1" applyFont="1" applyFill="1" applyBorder="1" applyProtection="1">
      <protection hidden="1"/>
    </xf>
    <xf numFmtId="166" fontId="3" fillId="4" borderId="89" xfId="2" applyNumberFormat="1" applyFont="1" applyFill="1" applyBorder="1" applyProtection="1">
      <protection hidden="1"/>
    </xf>
    <xf numFmtId="0" fontId="3" fillId="3" borderId="0" xfId="2" applyFont="1" applyFill="1" applyAlignment="1" applyProtection="1">
      <alignment horizontal="right"/>
      <protection hidden="1"/>
    </xf>
    <xf numFmtId="165" fontId="3" fillId="3" borderId="0" xfId="2" applyNumberFormat="1" applyFont="1" applyFill="1" applyBorder="1" applyProtection="1">
      <protection hidden="1"/>
    </xf>
    <xf numFmtId="165" fontId="3" fillId="3" borderId="86" xfId="2" applyNumberFormat="1" applyFont="1" applyFill="1" applyBorder="1" applyProtection="1">
      <protection hidden="1"/>
    </xf>
    <xf numFmtId="166" fontId="3" fillId="4" borderId="54" xfId="2" applyNumberFormat="1" applyFont="1" applyFill="1" applyBorder="1" applyProtection="1">
      <protection hidden="1"/>
    </xf>
    <xf numFmtId="166" fontId="3" fillId="4" borderId="55" xfId="2" applyNumberFormat="1" applyFont="1" applyFill="1" applyBorder="1" applyProtection="1">
      <protection hidden="1"/>
    </xf>
    <xf numFmtId="2" fontId="1" fillId="3" borderId="0" xfId="2" applyNumberFormat="1" applyFill="1" applyBorder="1" applyAlignment="1" applyProtection="1">
      <protection hidden="1"/>
    </xf>
    <xf numFmtId="166" fontId="3" fillId="4" borderId="4" xfId="2" applyNumberFormat="1" applyFont="1" applyFill="1" applyBorder="1" applyProtection="1">
      <protection hidden="1"/>
    </xf>
    <xf numFmtId="166" fontId="3" fillId="4" borderId="90" xfId="2" applyNumberFormat="1" applyFont="1" applyFill="1" applyBorder="1" applyProtection="1">
      <protection hidden="1"/>
    </xf>
    <xf numFmtId="10" fontId="3" fillId="3" borderId="0" xfId="2" applyNumberFormat="1" applyFont="1" applyFill="1" applyBorder="1" applyProtection="1">
      <protection hidden="1"/>
    </xf>
    <xf numFmtId="10" fontId="3" fillId="3" borderId="86" xfId="2" applyNumberFormat="1" applyFont="1" applyFill="1" applyBorder="1" applyProtection="1">
      <protection hidden="1"/>
    </xf>
    <xf numFmtId="0" fontId="4" fillId="4" borderId="91" xfId="2" applyFont="1" applyFill="1" applyBorder="1" applyAlignment="1" applyProtection="1">
      <alignment horizontal="right" vertical="center"/>
      <protection hidden="1"/>
    </xf>
    <xf numFmtId="0" fontId="4" fillId="4" borderId="92" xfId="2" applyFont="1" applyFill="1" applyBorder="1" applyAlignment="1" applyProtection="1">
      <alignment horizontal="center" vertical="center"/>
      <protection hidden="1"/>
    </xf>
    <xf numFmtId="0" fontId="4" fillId="4" borderId="93" xfId="2" applyFont="1" applyFill="1" applyBorder="1" applyAlignment="1" applyProtection="1">
      <alignment horizontal="center" vertical="center"/>
      <protection hidden="1"/>
    </xf>
    <xf numFmtId="1" fontId="3" fillId="3" borderId="0" xfId="2" applyNumberFormat="1" applyFont="1" applyFill="1" applyBorder="1" applyProtection="1">
      <protection hidden="1"/>
    </xf>
    <xf numFmtId="1" fontId="3" fillId="3" borderId="86" xfId="2" applyNumberFormat="1" applyFont="1" applyFill="1" applyBorder="1" applyProtection="1">
      <protection hidden="1"/>
    </xf>
    <xf numFmtId="1" fontId="3" fillId="3" borderId="80" xfId="2" applyNumberFormat="1" applyFont="1" applyFill="1" applyBorder="1" applyProtection="1">
      <protection hidden="1"/>
    </xf>
    <xf numFmtId="166" fontId="3" fillId="4" borderId="94" xfId="2" applyNumberFormat="1" applyFont="1" applyFill="1" applyBorder="1" applyProtection="1">
      <protection hidden="1"/>
    </xf>
    <xf numFmtId="166" fontId="3" fillId="4" borderId="95" xfId="2" applyNumberFormat="1" applyFont="1" applyFill="1" applyBorder="1" applyProtection="1">
      <protection hidden="1"/>
    </xf>
    <xf numFmtId="0" fontId="3" fillId="3" borderId="0" xfId="2" applyFont="1" applyFill="1" applyProtection="1">
      <protection hidden="1"/>
    </xf>
    <xf numFmtId="0" fontId="1" fillId="3" borderId="96" xfId="2" applyFill="1" applyBorder="1" applyAlignment="1" applyProtection="1">
      <alignment horizontal="right"/>
      <protection hidden="1"/>
    </xf>
    <xf numFmtId="166" fontId="1" fillId="3" borderId="0" xfId="2" applyNumberFormat="1" applyFill="1" applyBorder="1" applyProtection="1">
      <protection hidden="1"/>
    </xf>
    <xf numFmtId="0" fontId="1" fillId="3" borderId="0" xfId="2" applyFill="1" applyBorder="1" applyAlignment="1" applyProtection="1">
      <protection hidden="1"/>
    </xf>
    <xf numFmtId="2" fontId="1" fillId="3" borderId="0" xfId="2" applyNumberFormat="1" applyFill="1" applyBorder="1" applyAlignment="1" applyProtection="1">
      <alignment horizontal="right"/>
      <protection hidden="1"/>
    </xf>
    <xf numFmtId="2" fontId="1" fillId="3" borderId="0" xfId="2" applyNumberFormat="1" applyFill="1" applyBorder="1" applyProtection="1">
      <protection hidden="1"/>
    </xf>
    <xf numFmtId="0" fontId="5" fillId="4" borderId="97" xfId="2" applyFont="1" applyFill="1" applyBorder="1" applyAlignment="1" applyProtection="1">
      <alignment horizontal="right"/>
      <protection hidden="1"/>
    </xf>
    <xf numFmtId="2" fontId="5" fillId="4" borderId="98" xfId="2" applyNumberFormat="1" applyFont="1" applyFill="1" applyBorder="1" applyAlignment="1" applyProtection="1">
      <alignment horizontal="right"/>
      <protection locked="0"/>
    </xf>
    <xf numFmtId="2" fontId="5" fillId="4" borderId="99" xfId="2" applyNumberFormat="1" applyFont="1" applyFill="1" applyBorder="1" applyAlignment="1" applyProtection="1">
      <alignment horizontal="right"/>
      <protection locked="0"/>
    </xf>
    <xf numFmtId="0" fontId="4" fillId="0" borderId="40" xfId="2" applyFont="1" applyFill="1" applyBorder="1" applyAlignment="1" applyProtection="1">
      <alignment horizontal="right"/>
      <protection hidden="1"/>
    </xf>
    <xf numFmtId="2" fontId="4" fillId="0" borderId="100" xfId="2" applyNumberFormat="1" applyFont="1" applyFill="1" applyBorder="1" applyProtection="1">
      <protection hidden="1"/>
    </xf>
    <xf numFmtId="2" fontId="4" fillId="0" borderId="101" xfId="2" applyNumberFormat="1" applyFont="1" applyFill="1" applyBorder="1" applyProtection="1">
      <protection hidden="1"/>
    </xf>
    <xf numFmtId="0" fontId="5" fillId="4" borderId="40" xfId="2" applyFont="1" applyFill="1" applyBorder="1" applyAlignment="1" applyProtection="1">
      <alignment horizontal="right"/>
      <protection hidden="1"/>
    </xf>
    <xf numFmtId="10" fontId="5" fillId="4" borderId="102" xfId="2" applyNumberFormat="1" applyFont="1" applyFill="1" applyBorder="1" applyAlignment="1" applyProtection="1">
      <protection locked="0"/>
    </xf>
    <xf numFmtId="167" fontId="5" fillId="4" borderId="103" xfId="2" applyNumberFormat="1" applyFont="1" applyFill="1" applyBorder="1" applyAlignment="1" applyProtection="1">
      <protection locked="0"/>
    </xf>
    <xf numFmtId="0" fontId="1" fillId="3" borderId="0" xfId="2" applyFill="1" applyAlignment="1" applyProtection="1">
      <alignment horizontal="right"/>
      <protection hidden="1"/>
    </xf>
    <xf numFmtId="166" fontId="5" fillId="4" borderId="102" xfId="2" applyNumberFormat="1" applyFont="1" applyFill="1" applyBorder="1" applyAlignment="1" applyProtection="1">
      <protection locked="0"/>
    </xf>
    <xf numFmtId="166" fontId="5" fillId="4" borderId="103" xfId="2" applyNumberFormat="1" applyFont="1" applyFill="1" applyBorder="1" applyAlignment="1" applyProtection="1">
      <protection locked="0"/>
    </xf>
    <xf numFmtId="2" fontId="3" fillId="4" borderId="100" xfId="2" applyNumberFormat="1" applyFont="1" applyFill="1" applyBorder="1" applyAlignment="1" applyProtection="1">
      <protection hidden="1"/>
    </xf>
    <xf numFmtId="2" fontId="3" fillId="4" borderId="101" xfId="2" applyNumberFormat="1" applyFont="1" applyFill="1" applyBorder="1" applyAlignment="1" applyProtection="1">
      <protection hidden="1"/>
    </xf>
    <xf numFmtId="0" fontId="5" fillId="4" borderId="40" xfId="2" quotePrefix="1" applyFont="1" applyFill="1" applyBorder="1" applyAlignment="1" applyProtection="1">
      <alignment horizontal="right"/>
      <protection hidden="1"/>
    </xf>
    <xf numFmtId="0" fontId="5" fillId="4" borderId="102" xfId="2" applyFont="1" applyFill="1" applyBorder="1" applyProtection="1">
      <protection locked="0"/>
    </xf>
    <xf numFmtId="0" fontId="5" fillId="4" borderId="103" xfId="2" applyFont="1" applyFill="1" applyBorder="1" applyProtection="1">
      <protection locked="0"/>
    </xf>
    <xf numFmtId="0" fontId="4" fillId="4" borderId="43" xfId="2" applyFont="1" applyFill="1" applyBorder="1" applyAlignment="1" applyProtection="1">
      <alignment horizontal="right"/>
      <protection hidden="1"/>
    </xf>
    <xf numFmtId="0" fontId="21" fillId="4" borderId="104" xfId="2" applyFont="1" applyFill="1" applyBorder="1" applyAlignment="1" applyProtection="1">
      <alignment horizontal="center"/>
      <protection hidden="1"/>
    </xf>
    <xf numFmtId="0" fontId="5" fillId="4" borderId="105" xfId="2" applyFont="1" applyFill="1" applyBorder="1" applyAlignment="1" applyProtection="1">
      <alignment horizontal="right"/>
      <protection locked="0"/>
    </xf>
    <xf numFmtId="0" fontId="5" fillId="4" borderId="106" xfId="2" applyFont="1" applyFill="1" applyBorder="1" applyAlignment="1" applyProtection="1">
      <alignment horizontal="right"/>
      <protection locked="0"/>
    </xf>
    <xf numFmtId="10" fontId="5" fillId="4" borderId="102" xfId="2" applyNumberFormat="1" applyFont="1" applyFill="1" applyBorder="1" applyProtection="1">
      <protection locked="0"/>
    </xf>
    <xf numFmtId="10" fontId="5" fillId="4" borderId="103" xfId="2" applyNumberFormat="1" applyFont="1" applyFill="1" applyBorder="1" applyProtection="1">
      <protection locked="0"/>
    </xf>
    <xf numFmtId="164" fontId="1" fillId="3" borderId="0" xfId="2" applyNumberFormat="1" applyFill="1" applyProtection="1">
      <protection hidden="1"/>
    </xf>
    <xf numFmtId="2" fontId="3" fillId="4" borderId="100" xfId="2" applyNumberFormat="1" applyFont="1" applyFill="1" applyBorder="1" applyProtection="1">
      <protection hidden="1"/>
    </xf>
    <xf numFmtId="2" fontId="37" fillId="4" borderId="101" xfId="2" applyNumberFormat="1" applyFont="1" applyFill="1" applyBorder="1" applyProtection="1">
      <protection hidden="1"/>
    </xf>
    <xf numFmtId="2" fontId="21" fillId="4" borderId="107" xfId="2" applyNumberFormat="1" applyFont="1" applyFill="1" applyBorder="1" applyAlignment="1" applyProtection="1">
      <alignment horizontal="center"/>
      <protection hidden="1"/>
    </xf>
    <xf numFmtId="0" fontId="3" fillId="3" borderId="0" xfId="2" applyFont="1" applyFill="1" applyBorder="1" applyAlignment="1" applyProtection="1">
      <protection hidden="1"/>
    </xf>
    <xf numFmtId="0" fontId="3" fillId="3" borderId="0" xfId="2" applyFont="1" applyFill="1" applyBorder="1" applyProtection="1">
      <protection hidden="1"/>
    </xf>
    <xf numFmtId="165" fontId="1" fillId="3" borderId="0" xfId="2" applyNumberFormat="1" applyFill="1" applyBorder="1" applyProtection="1">
      <protection hidden="1"/>
    </xf>
    <xf numFmtId="165" fontId="1" fillId="3" borderId="0" xfId="2" applyNumberFormat="1" applyFill="1" applyProtection="1">
      <protection hidden="1"/>
    </xf>
    <xf numFmtId="0" fontId="1" fillId="4" borderId="108" xfId="2" applyFill="1" applyBorder="1" applyProtection="1">
      <protection hidden="1"/>
    </xf>
    <xf numFmtId="0" fontId="1" fillId="0" borderId="109" xfId="2" applyFill="1" applyBorder="1" applyProtection="1">
      <protection hidden="1"/>
    </xf>
    <xf numFmtId="0" fontId="26" fillId="0" borderId="110" xfId="2" applyFont="1" applyFill="1" applyBorder="1" applyAlignment="1" applyProtection="1">
      <alignment horizontal="right"/>
      <protection hidden="1"/>
    </xf>
    <xf numFmtId="0" fontId="24" fillId="0" borderId="111" xfId="2" applyFont="1" applyFill="1" applyBorder="1" applyAlignment="1" applyProtection="1">
      <alignment horizontal="center"/>
      <protection locked="0"/>
    </xf>
    <xf numFmtId="0" fontId="1" fillId="0" borderId="109" xfId="2" applyBorder="1" applyProtection="1">
      <protection hidden="1"/>
    </xf>
    <xf numFmtId="0" fontId="1" fillId="4" borderId="112" xfId="2" applyFill="1" applyBorder="1" applyProtection="1">
      <protection hidden="1"/>
    </xf>
    <xf numFmtId="0" fontId="1" fillId="0" borderId="113" xfId="2" applyFill="1" applyBorder="1" applyProtection="1">
      <protection hidden="1"/>
    </xf>
    <xf numFmtId="0" fontId="26" fillId="0" borderId="114" xfId="2" applyFont="1" applyFill="1" applyBorder="1" applyAlignment="1" applyProtection="1">
      <alignment horizontal="right"/>
      <protection hidden="1"/>
    </xf>
    <xf numFmtId="0" fontId="24" fillId="0" borderId="115" xfId="2" applyFont="1" applyFill="1" applyBorder="1" applyAlignment="1" applyProtection="1">
      <alignment horizontal="center"/>
      <protection locked="0"/>
    </xf>
    <xf numFmtId="0" fontId="1" fillId="0" borderId="113" xfId="2" applyBorder="1" applyProtection="1">
      <protection hidden="1"/>
    </xf>
    <xf numFmtId="0" fontId="1" fillId="3" borderId="0" xfId="2" applyFont="1" applyFill="1" applyProtection="1">
      <protection hidden="1"/>
    </xf>
    <xf numFmtId="2" fontId="1" fillId="3" borderId="0" xfId="2" applyNumberFormat="1" applyFill="1" applyProtection="1">
      <protection hidden="1"/>
    </xf>
    <xf numFmtId="0" fontId="1" fillId="0" borderId="0" xfId="2" applyFill="1" applyProtection="1">
      <protection hidden="1"/>
    </xf>
    <xf numFmtId="0" fontId="1" fillId="0" borderId="0" xfId="2" applyFill="1"/>
    <xf numFmtId="0" fontId="1" fillId="0" borderId="116" xfId="2" applyBorder="1" applyAlignment="1">
      <alignment horizontal="center"/>
    </xf>
    <xf numFmtId="0" fontId="1" fillId="0" borderId="117" xfId="2" applyBorder="1" applyAlignment="1">
      <alignment horizontal="center"/>
    </xf>
    <xf numFmtId="0" fontId="1" fillId="0" borderId="118" xfId="2" applyBorder="1" applyAlignment="1">
      <alignment horizontal="center"/>
    </xf>
    <xf numFmtId="0" fontId="1" fillId="0" borderId="119" xfId="2" applyBorder="1" applyAlignment="1">
      <alignment horizontal="center"/>
    </xf>
    <xf numFmtId="0" fontId="1" fillId="0" borderId="19" xfId="2" applyBorder="1" applyAlignment="1">
      <alignment horizontal="center"/>
    </xf>
    <xf numFmtId="0" fontId="1" fillId="0" borderId="0" xfId="2" applyBorder="1"/>
    <xf numFmtId="2" fontId="1" fillId="0" borderId="0" xfId="2" applyNumberFormat="1" applyFill="1" applyProtection="1">
      <protection locked="0"/>
    </xf>
    <xf numFmtId="2" fontId="1" fillId="0" borderId="0" xfId="2" applyNumberFormat="1" applyFill="1"/>
    <xf numFmtId="0" fontId="1" fillId="0" borderId="0" xfId="2"/>
    <xf numFmtId="0" fontId="1" fillId="0" borderId="120" xfId="2" applyFill="1" applyBorder="1"/>
    <xf numFmtId="2" fontId="1" fillId="0" borderId="121" xfId="2" applyNumberFormat="1" applyFill="1" applyBorder="1" applyProtection="1">
      <protection locked="0"/>
    </xf>
    <xf numFmtId="2" fontId="1" fillId="0" borderId="122" xfId="2" applyNumberFormat="1" applyFill="1" applyBorder="1" applyProtection="1">
      <protection locked="0"/>
    </xf>
    <xf numFmtId="0" fontId="1" fillId="0" borderId="0" xfId="2" applyFill="1" applyAlignment="1">
      <alignment horizontal="right"/>
    </xf>
    <xf numFmtId="1" fontId="1" fillId="0" borderId="0" xfId="2" applyNumberFormat="1" applyFill="1"/>
    <xf numFmtId="0" fontId="1" fillId="0" borderId="0" xfId="2" applyAlignment="1">
      <alignment horizontal="right"/>
    </xf>
    <xf numFmtId="0" fontId="1" fillId="0" borderId="0" xfId="2" applyFill="1" applyProtection="1">
      <protection locked="0"/>
    </xf>
    <xf numFmtId="0" fontId="1" fillId="3" borderId="123" xfId="2" applyFill="1" applyBorder="1"/>
    <xf numFmtId="0" fontId="1" fillId="0" borderId="0" xfId="2" applyFill="1" applyBorder="1"/>
    <xf numFmtId="0" fontId="1" fillId="0" borderId="121" xfId="2" applyFill="1" applyBorder="1"/>
    <xf numFmtId="0" fontId="1" fillId="0" borderId="122" xfId="2" applyFill="1" applyBorder="1"/>
    <xf numFmtId="0" fontId="1" fillId="0" borderId="0" xfId="2" applyFill="1" applyAlignment="1" applyProtection="1">
      <alignment horizontal="right"/>
    </xf>
    <xf numFmtId="165" fontId="1" fillId="0" borderId="0" xfId="2" applyNumberFormat="1" applyBorder="1"/>
    <xf numFmtId="165" fontId="1" fillId="0" borderId="124" xfId="2" applyNumberFormat="1" applyFill="1" applyBorder="1"/>
    <xf numFmtId="0" fontId="1" fillId="0" borderId="121" xfId="2" applyFill="1" applyBorder="1" applyProtection="1">
      <protection locked="0"/>
    </xf>
    <xf numFmtId="0" fontId="1" fillId="0" borderId="18" xfId="2" applyFill="1" applyBorder="1" applyProtection="1">
      <protection locked="0"/>
    </xf>
    <xf numFmtId="1" fontId="1" fillId="0" borderId="0" xfId="2" applyNumberFormat="1" applyFill="1" applyAlignment="1">
      <alignment horizontal="right"/>
    </xf>
    <xf numFmtId="1" fontId="1" fillId="0" borderId="122" xfId="2" applyNumberFormat="1" applyFill="1" applyBorder="1" applyAlignment="1">
      <alignment horizontal="right"/>
    </xf>
    <xf numFmtId="1" fontId="1" fillId="3" borderId="18" xfId="2" applyNumberFormat="1" applyFill="1" applyBorder="1"/>
    <xf numFmtId="0" fontId="1" fillId="0" borderId="125" xfId="2" applyBorder="1"/>
    <xf numFmtId="0" fontId="1" fillId="0" borderId="122" xfId="2" applyBorder="1"/>
    <xf numFmtId="1" fontId="1" fillId="3" borderId="18" xfId="2" applyNumberFormat="1" applyFill="1" applyBorder="1" applyProtection="1"/>
    <xf numFmtId="0" fontId="1" fillId="0" borderId="0" xfId="2" applyAlignment="1">
      <alignment horizontal="center"/>
    </xf>
    <xf numFmtId="0" fontId="1" fillId="0" borderId="0" xfId="2" applyFont="1" applyFill="1"/>
    <xf numFmtId="165" fontId="1" fillId="0" borderId="0" xfId="2" applyNumberFormat="1"/>
    <xf numFmtId="0" fontId="2" fillId="0" borderId="0" xfId="2" applyFont="1"/>
    <xf numFmtId="0" fontId="1" fillId="0" borderId="0" xfId="2" applyBorder="1" applyAlignment="1">
      <alignment horizontal="center"/>
    </xf>
    <xf numFmtId="0" fontId="1" fillId="3" borderId="0" xfId="2" applyFill="1" applyBorder="1" applyAlignment="1">
      <alignment horizontal="right"/>
    </xf>
    <xf numFmtId="2" fontId="1" fillId="0" borderId="0" xfId="2" applyNumberFormat="1"/>
    <xf numFmtId="2" fontId="1" fillId="0" borderId="0" xfId="2" applyNumberFormat="1" applyBorder="1"/>
    <xf numFmtId="2" fontId="1" fillId="0" borderId="0" xfId="2" applyNumberFormat="1" applyProtection="1">
      <protection locked="0"/>
    </xf>
    <xf numFmtId="0" fontId="1" fillId="3" borderId="0" xfId="2" applyFill="1" applyAlignment="1">
      <alignment horizontal="right"/>
    </xf>
    <xf numFmtId="0" fontId="1" fillId="3" borderId="0" xfId="2" quotePrefix="1" applyFill="1" applyBorder="1" applyAlignment="1" applyProtection="1">
      <alignment horizontal="right"/>
    </xf>
    <xf numFmtId="0" fontId="1" fillId="0" borderId="0" xfId="2" applyAlignment="1">
      <alignment shrinkToFit="1"/>
    </xf>
    <xf numFmtId="0" fontId="1" fillId="0" borderId="0" xfId="2" applyFont="1"/>
    <xf numFmtId="0" fontId="1" fillId="0" borderId="126" xfId="2" applyFont="1" applyBorder="1"/>
    <xf numFmtId="0" fontId="1" fillId="0" borderId="124" xfId="2" applyBorder="1"/>
    <xf numFmtId="2" fontId="1" fillId="0" borderId="0" xfId="2" applyNumberFormat="1" applyBorder="1" applyAlignment="1">
      <alignment horizontal="right"/>
    </xf>
    <xf numFmtId="0" fontId="1" fillId="5" borderId="127" xfId="2" applyFill="1" applyBorder="1" applyAlignment="1" applyProtection="1">
      <alignment horizontal="center"/>
      <protection hidden="1"/>
    </xf>
    <xf numFmtId="0" fontId="10" fillId="0" borderId="128" xfId="2" applyFont="1" applyFill="1" applyBorder="1" applyAlignment="1" applyProtection="1">
      <alignment horizontal="center"/>
      <protection locked="0"/>
    </xf>
    <xf numFmtId="0" fontId="10" fillId="0" borderId="129" xfId="2" applyFont="1" applyFill="1" applyBorder="1" applyAlignment="1" applyProtection="1">
      <alignment horizontal="center"/>
      <protection locked="0"/>
    </xf>
    <xf numFmtId="0" fontId="10" fillId="0" borderId="130" xfId="2" applyFont="1" applyFill="1" applyBorder="1" applyAlignment="1" applyProtection="1">
      <alignment horizontal="center"/>
      <protection locked="0"/>
    </xf>
    <xf numFmtId="0" fontId="10" fillId="0" borderId="131" xfId="2" applyFont="1" applyFill="1" applyBorder="1" applyAlignment="1" applyProtection="1">
      <alignment horizontal="center"/>
      <protection locked="0"/>
    </xf>
    <xf numFmtId="0" fontId="44" fillId="3" borderId="0" xfId="2" applyFont="1" applyFill="1" applyProtection="1">
      <protection hidden="1"/>
    </xf>
    <xf numFmtId="49" fontId="1" fillId="0" borderId="0" xfId="0" applyNumberFormat="1" applyFont="1"/>
    <xf numFmtId="49" fontId="0" fillId="0" borderId="0" xfId="0" applyNumberFormat="1"/>
    <xf numFmtId="0" fontId="3" fillId="4" borderId="40" xfId="2" applyFont="1" applyFill="1" applyBorder="1" applyAlignment="1" applyProtection="1">
      <alignment horizontal="right" vertical="center"/>
      <protection hidden="1"/>
    </xf>
    <xf numFmtId="165" fontId="3" fillId="4" borderId="132" xfId="2" applyNumberFormat="1" applyFont="1" applyFill="1" applyBorder="1" applyAlignment="1" applyProtection="1">
      <alignment vertical="center"/>
      <protection hidden="1"/>
    </xf>
    <xf numFmtId="165" fontId="3" fillId="4" borderId="78" xfId="2" applyNumberFormat="1" applyFont="1" applyFill="1" applyBorder="1" applyAlignment="1" applyProtection="1">
      <alignment vertical="center"/>
      <protection hidden="1"/>
    </xf>
    <xf numFmtId="0" fontId="3" fillId="4" borderId="133" xfId="2" applyFont="1" applyFill="1" applyBorder="1" applyAlignment="1" applyProtection="1">
      <alignment horizontal="right" vertical="center"/>
      <protection hidden="1"/>
    </xf>
    <xf numFmtId="0" fontId="3" fillId="4" borderId="134" xfId="2" applyFont="1" applyFill="1" applyBorder="1" applyAlignment="1" applyProtection="1">
      <alignment horizontal="right" vertical="center"/>
      <protection hidden="1"/>
    </xf>
    <xf numFmtId="165" fontId="3" fillId="4" borderId="54" xfId="2" applyNumberFormat="1" applyFont="1" applyFill="1" applyBorder="1" applyAlignment="1" applyProtection="1">
      <alignment vertical="center"/>
      <protection hidden="1"/>
    </xf>
    <xf numFmtId="165" fontId="3" fillId="4" borderId="55" xfId="2" applyNumberFormat="1" applyFont="1" applyFill="1" applyBorder="1" applyAlignment="1" applyProtection="1">
      <alignment vertical="center"/>
      <protection hidden="1"/>
    </xf>
    <xf numFmtId="2" fontId="45" fillId="6" borderId="0" xfId="2" applyNumberFormat="1" applyFont="1" applyFill="1" applyBorder="1" applyProtection="1">
      <protection hidden="1"/>
    </xf>
    <xf numFmtId="0" fontId="11" fillId="2" borderId="0" xfId="1" applyFill="1" applyBorder="1" applyAlignment="1" applyProtection="1">
      <protection hidden="1"/>
    </xf>
    <xf numFmtId="0" fontId="46" fillId="2" borderId="0" xfId="0" applyFont="1" applyFill="1" applyAlignment="1" applyProtection="1">
      <alignment horizontal="right"/>
      <protection hidden="1"/>
    </xf>
    <xf numFmtId="0" fontId="47" fillId="2" borderId="0" xfId="0" applyFont="1" applyFill="1" applyBorder="1" applyProtection="1">
      <protection locked="0"/>
    </xf>
    <xf numFmtId="0" fontId="47" fillId="2" borderId="0" xfId="0" applyFont="1" applyFill="1" applyBorder="1" applyProtection="1">
      <protection hidden="1"/>
    </xf>
    <xf numFmtId="0" fontId="26" fillId="7" borderId="0" xfId="0" applyFont="1" applyFill="1" applyBorder="1" applyProtection="1">
      <protection hidden="1"/>
    </xf>
    <xf numFmtId="0" fontId="32" fillId="7" borderId="0" xfId="0" applyFont="1" applyFill="1" applyBorder="1" applyProtection="1">
      <protection hidden="1"/>
    </xf>
    <xf numFmtId="0" fontId="0" fillId="7" borderId="0" xfId="0" applyFill="1" applyProtection="1">
      <protection hidden="1"/>
    </xf>
    <xf numFmtId="0" fontId="12" fillId="7" borderId="0" xfId="0" applyFont="1" applyFill="1" applyProtection="1">
      <protection hidden="1"/>
    </xf>
    <xf numFmtId="0" fontId="30" fillId="7" borderId="0" xfId="0" applyFont="1" applyFill="1" applyAlignment="1" applyProtection="1">
      <alignment horizontal="right"/>
      <protection hidden="1"/>
    </xf>
    <xf numFmtId="0" fontId="30" fillId="7" borderId="0" xfId="0" applyFont="1" applyFill="1" applyBorder="1" applyAlignment="1" applyProtection="1">
      <alignment horizontal="center"/>
      <protection locked="0"/>
    </xf>
    <xf numFmtId="0" fontId="29" fillId="7" borderId="0" xfId="0" applyFont="1" applyFill="1" applyProtection="1">
      <protection hidden="1"/>
    </xf>
    <xf numFmtId="0" fontId="32" fillId="7" borderId="0" xfId="0" applyFont="1" applyFill="1" applyProtection="1">
      <protection hidden="1"/>
    </xf>
    <xf numFmtId="0" fontId="26" fillId="7" borderId="0" xfId="0" applyFont="1" applyFill="1" applyBorder="1" applyProtection="1">
      <protection locked="0"/>
    </xf>
    <xf numFmtId="0" fontId="26" fillId="7" borderId="0" xfId="0" applyFont="1" applyFill="1" applyBorder="1" applyAlignment="1" applyProtection="1">
      <alignment horizontal="center"/>
      <protection locked="0"/>
    </xf>
    <xf numFmtId="0" fontId="48" fillId="2" borderId="0" xfId="0" applyFont="1" applyFill="1" applyAlignment="1" applyProtection="1">
      <alignment horizontal="left"/>
      <protection hidden="1"/>
    </xf>
    <xf numFmtId="0" fontId="29" fillId="2" borderId="0" xfId="0" applyFont="1" applyFill="1" applyAlignment="1" applyProtection="1">
      <alignment horizontal="right"/>
      <protection hidden="1"/>
    </xf>
    <xf numFmtId="0" fontId="29" fillId="7" borderId="0" xfId="0" applyFont="1" applyFill="1" applyAlignment="1" applyProtection="1">
      <alignment horizontal="right"/>
      <protection hidden="1"/>
    </xf>
    <xf numFmtId="0" fontId="26" fillId="7" borderId="0" xfId="0" applyFont="1" applyFill="1" applyBorder="1" applyAlignment="1" applyProtection="1">
      <alignment horizontal="right"/>
      <protection locked="0"/>
    </xf>
    <xf numFmtId="0" fontId="26" fillId="7" borderId="0" xfId="0" applyFont="1" applyFill="1" applyProtection="1">
      <protection hidden="1"/>
    </xf>
    <xf numFmtId="0" fontId="29" fillId="7" borderId="0" xfId="0" applyFont="1" applyFill="1" applyAlignment="1" applyProtection="1">
      <alignment horizontal="center"/>
      <protection hidden="1"/>
    </xf>
    <xf numFmtId="0" fontId="26" fillId="7" borderId="0" xfId="0" applyFont="1" applyFill="1" applyBorder="1" applyAlignment="1" applyProtection="1">
      <alignment horizontal="right"/>
      <protection hidden="1"/>
    </xf>
    <xf numFmtId="0" fontId="49" fillId="2" borderId="0" xfId="0" applyFont="1" applyFill="1" applyAlignment="1" applyProtection="1">
      <alignment vertical="center"/>
      <protection hidden="1"/>
    </xf>
    <xf numFmtId="0" fontId="50" fillId="2" borderId="0" xfId="0" applyFont="1" applyFill="1" applyProtection="1">
      <protection hidden="1"/>
    </xf>
    <xf numFmtId="2" fontId="34" fillId="8" borderId="4" xfId="0" applyNumberFormat="1" applyFont="1" applyFill="1" applyBorder="1" applyProtection="1">
      <protection hidden="1"/>
    </xf>
    <xf numFmtId="0" fontId="10" fillId="8" borderId="4" xfId="0" applyFont="1" applyFill="1" applyBorder="1" applyAlignment="1" applyProtection="1">
      <alignment horizontal="center"/>
      <protection hidden="1"/>
    </xf>
    <xf numFmtId="0" fontId="26" fillId="0" borderId="153" xfId="0" applyFont="1" applyFill="1" applyBorder="1" applyProtection="1">
      <protection locked="0"/>
    </xf>
    <xf numFmtId="0" fontId="46" fillId="0" borderId="152" xfId="0" applyFont="1" applyFill="1" applyBorder="1" applyProtection="1">
      <protection hidden="1"/>
    </xf>
    <xf numFmtId="0" fontId="43" fillId="7" borderId="0" xfId="0" applyFont="1" applyFill="1" applyProtection="1">
      <protection hidden="1"/>
    </xf>
    <xf numFmtId="0" fontId="44" fillId="7" borderId="0" xfId="0" applyFont="1" applyFill="1" applyProtection="1">
      <protection hidden="1"/>
    </xf>
    <xf numFmtId="0" fontId="17" fillId="7" borderId="0" xfId="0" applyFont="1" applyFill="1" applyProtection="1">
      <protection hidden="1"/>
    </xf>
    <xf numFmtId="0" fontId="9" fillId="7" borderId="0" xfId="0" applyFont="1" applyFill="1" applyProtection="1">
      <protection hidden="1"/>
    </xf>
    <xf numFmtId="1" fontId="34" fillId="8" borderId="82" xfId="0" applyNumberFormat="1" applyFont="1" applyFill="1" applyBorder="1" applyAlignment="1" applyProtection="1">
      <alignment horizontal="center"/>
      <protection hidden="1"/>
    </xf>
    <xf numFmtId="2" fontId="34" fillId="8" borderId="88" xfId="0" applyNumberFormat="1" applyFont="1" applyFill="1" applyBorder="1" applyProtection="1">
      <protection hidden="1"/>
    </xf>
    <xf numFmtId="2" fontId="34" fillId="8" borderId="154" xfId="0" applyNumberFormat="1" applyFont="1" applyFill="1" applyBorder="1" applyProtection="1">
      <protection hidden="1"/>
    </xf>
    <xf numFmtId="0" fontId="19" fillId="3" borderId="0" xfId="2" applyFont="1" applyFill="1" applyBorder="1" applyAlignment="1" applyProtection="1">
      <alignment horizontal="center"/>
      <protection hidden="1"/>
    </xf>
    <xf numFmtId="0" fontId="20" fillId="0" borderId="17" xfId="2" applyFont="1" applyBorder="1" applyAlignment="1" applyProtection="1">
      <alignment horizontal="center" vertical="center" textRotation="90"/>
      <protection hidden="1"/>
    </xf>
    <xf numFmtId="0" fontId="20" fillId="0" borderId="0" xfId="2" applyFont="1" applyBorder="1" applyAlignment="1" applyProtection="1">
      <alignment horizontal="center" vertical="center" textRotation="90"/>
      <protection hidden="1"/>
    </xf>
    <xf numFmtId="0" fontId="20" fillId="0" borderId="119" xfId="2" applyFont="1" applyBorder="1" applyAlignment="1" applyProtection="1">
      <alignment horizontal="center" vertical="center" textRotation="90"/>
      <protection hidden="1"/>
    </xf>
    <xf numFmtId="0" fontId="1" fillId="0" borderId="40" xfId="2" applyBorder="1" applyAlignment="1" applyProtection="1">
      <alignment horizontal="center"/>
      <protection hidden="1"/>
    </xf>
    <xf numFmtId="0" fontId="1" fillId="0" borderId="0" xfId="2" applyBorder="1" applyAlignment="1" applyProtection="1">
      <alignment horizontal="center"/>
      <protection hidden="1"/>
    </xf>
    <xf numFmtId="0" fontId="1" fillId="0" borderId="80" xfId="2" applyBorder="1" applyAlignment="1" applyProtection="1">
      <alignment horizontal="center"/>
      <protection hidden="1"/>
    </xf>
    <xf numFmtId="0" fontId="10" fillId="0" borderId="16" xfId="2" applyFont="1" applyBorder="1" applyAlignment="1" applyProtection="1">
      <alignment horizontal="center"/>
      <protection hidden="1"/>
    </xf>
    <xf numFmtId="0" fontId="10" fillId="0" borderId="17" xfId="2" applyFont="1" applyBorder="1" applyAlignment="1" applyProtection="1">
      <alignment horizontal="center"/>
      <protection hidden="1"/>
    </xf>
    <xf numFmtId="0" fontId="10" fillId="0" borderId="1" xfId="2" applyFont="1" applyBorder="1" applyAlignment="1" applyProtection="1">
      <alignment horizontal="center"/>
      <protection hidden="1"/>
    </xf>
    <xf numFmtId="0" fontId="10" fillId="0" borderId="135" xfId="2" applyFont="1" applyBorder="1" applyAlignment="1" applyProtection="1">
      <alignment horizontal="center"/>
      <protection hidden="1"/>
    </xf>
    <xf numFmtId="0" fontId="10" fillId="0" borderId="136" xfId="2" applyFont="1" applyBorder="1" applyAlignment="1" applyProtection="1">
      <alignment horizontal="center"/>
      <protection hidden="1"/>
    </xf>
    <xf numFmtId="0" fontId="10" fillId="0" borderId="137" xfId="2" applyFont="1" applyBorder="1" applyAlignment="1" applyProtection="1">
      <alignment horizontal="center"/>
      <protection hidden="1"/>
    </xf>
    <xf numFmtId="0" fontId="10" fillId="0" borderId="138" xfId="2" applyFont="1" applyBorder="1" applyAlignment="1" applyProtection="1">
      <alignment horizontal="center"/>
      <protection hidden="1"/>
    </xf>
    <xf numFmtId="0" fontId="10" fillId="0" borderId="139" xfId="2" applyFont="1" applyBorder="1" applyAlignment="1" applyProtection="1">
      <alignment horizontal="center"/>
      <protection hidden="1"/>
    </xf>
    <xf numFmtId="0" fontId="5" fillId="4" borderId="140" xfId="2" applyFont="1" applyFill="1" applyBorder="1" applyAlignment="1" applyProtection="1">
      <alignment horizontal="center" vertical="center" wrapText="1"/>
      <protection locked="0"/>
    </xf>
    <xf numFmtId="0" fontId="38" fillId="4" borderId="141" xfId="2" applyFont="1" applyFill="1" applyBorder="1" applyAlignment="1" applyProtection="1">
      <alignment horizontal="center" vertical="center" wrapText="1"/>
      <protection locked="0"/>
    </xf>
    <xf numFmtId="0" fontId="5" fillId="4" borderId="142" xfId="2" applyFont="1" applyFill="1" applyBorder="1" applyAlignment="1" applyProtection="1">
      <alignment horizontal="center" vertical="center" wrapText="1"/>
      <protection locked="0"/>
    </xf>
    <xf numFmtId="0" fontId="38" fillId="4" borderId="143" xfId="2" applyFont="1" applyFill="1" applyBorder="1" applyAlignment="1" applyProtection="1">
      <alignment horizontal="center" vertical="center" wrapText="1"/>
      <protection locked="0"/>
    </xf>
    <xf numFmtId="0" fontId="19" fillId="3" borderId="32" xfId="2" applyFont="1" applyFill="1" applyBorder="1" applyAlignment="1" applyProtection="1">
      <alignment horizontal="center"/>
      <protection hidden="1"/>
    </xf>
    <xf numFmtId="0" fontId="1" fillId="0" borderId="0" xfId="2" applyAlignment="1">
      <alignment horizontal="center" vertical="center" textRotation="90"/>
    </xf>
    <xf numFmtId="0" fontId="1" fillId="0" borderId="119" xfId="2" applyBorder="1" applyAlignment="1">
      <alignment horizontal="center" vertical="center" textRotation="90"/>
    </xf>
    <xf numFmtId="0" fontId="1" fillId="0" borderId="17" xfId="2" applyBorder="1" applyAlignment="1">
      <alignment horizontal="center" vertical="center" textRotation="90"/>
    </xf>
    <xf numFmtId="0" fontId="1" fillId="0" borderId="0" xfId="2" applyBorder="1" applyAlignment="1">
      <alignment horizontal="center" vertical="center" textRotation="90"/>
    </xf>
    <xf numFmtId="0" fontId="24" fillId="0" borderId="6" xfId="0" applyFont="1" applyFill="1" applyBorder="1" applyAlignment="1" applyProtection="1">
      <alignment horizontal="center"/>
      <protection locked="0"/>
    </xf>
    <xf numFmtId="0" fontId="33" fillId="0" borderId="6" xfId="0" applyFont="1" applyFill="1" applyBorder="1" applyAlignment="1" applyProtection="1">
      <alignment horizontal="center"/>
      <protection locked="0"/>
    </xf>
    <xf numFmtId="0" fontId="51" fillId="4" borderId="144" xfId="0" applyFont="1" applyFill="1" applyBorder="1" applyAlignment="1" applyProtection="1">
      <alignment horizontal="center"/>
      <protection locked="0"/>
    </xf>
    <xf numFmtId="0" fontId="51" fillId="4" borderId="145" xfId="0" applyFont="1" applyFill="1" applyBorder="1" applyAlignment="1" applyProtection="1">
      <alignment horizontal="center"/>
      <protection locked="0"/>
    </xf>
    <xf numFmtId="0" fontId="51" fillId="4" borderId="146" xfId="0" applyFont="1" applyFill="1" applyBorder="1" applyAlignment="1" applyProtection="1">
      <alignment horizontal="center"/>
      <protection locked="0"/>
    </xf>
    <xf numFmtId="49" fontId="51" fillId="4" borderId="147" xfId="0" applyNumberFormat="1" applyFont="1" applyFill="1" applyBorder="1" applyAlignment="1" applyProtection="1">
      <alignment horizontal="center"/>
      <protection locked="0"/>
    </xf>
    <xf numFmtId="49" fontId="51" fillId="4" borderId="0" xfId="0" applyNumberFormat="1" applyFont="1" applyFill="1" applyBorder="1" applyAlignment="1" applyProtection="1">
      <alignment horizontal="center"/>
      <protection locked="0"/>
    </xf>
    <xf numFmtId="49" fontId="51" fillId="4" borderId="148" xfId="0" applyNumberFormat="1" applyFont="1" applyFill="1" applyBorder="1" applyAlignment="1" applyProtection="1">
      <alignment horizontal="center"/>
      <protection locked="0"/>
    </xf>
    <xf numFmtId="0" fontId="51" fillId="4" borderId="147" xfId="0" applyFont="1" applyFill="1" applyBorder="1" applyAlignment="1" applyProtection="1">
      <alignment horizontal="center"/>
      <protection locked="0"/>
    </xf>
    <xf numFmtId="0" fontId="51" fillId="4" borderId="0" xfId="0" applyFont="1" applyFill="1" applyBorder="1" applyAlignment="1" applyProtection="1">
      <alignment horizontal="center"/>
      <protection locked="0"/>
    </xf>
    <xf numFmtId="0" fontId="51" fillId="4" borderId="148" xfId="0" applyFont="1" applyFill="1" applyBorder="1" applyAlignment="1" applyProtection="1">
      <alignment horizontal="center"/>
      <protection locked="0"/>
    </xf>
    <xf numFmtId="0" fontId="51" fillId="4" borderId="144" xfId="0" applyFont="1" applyFill="1" applyBorder="1" applyAlignment="1" applyProtection="1">
      <alignment horizontal="center" vertical="top"/>
      <protection locked="0"/>
    </xf>
    <xf numFmtId="0" fontId="51" fillId="4" borderId="145" xfId="0" applyFont="1" applyFill="1" applyBorder="1" applyAlignment="1" applyProtection="1">
      <alignment horizontal="center" vertical="top"/>
      <protection locked="0"/>
    </xf>
    <xf numFmtId="0" fontId="51" fillId="4" borderId="146" xfId="0" applyFont="1" applyFill="1" applyBorder="1" applyAlignment="1" applyProtection="1">
      <alignment horizontal="center" vertical="top"/>
      <protection locked="0"/>
    </xf>
    <xf numFmtId="0" fontId="51" fillId="4" borderId="147" xfId="0" applyFont="1" applyFill="1" applyBorder="1" applyAlignment="1" applyProtection="1">
      <alignment horizontal="center" vertical="top"/>
      <protection locked="0"/>
    </xf>
    <xf numFmtId="0" fontId="51" fillId="4" borderId="0" xfId="0" applyFont="1" applyFill="1" applyBorder="1" applyAlignment="1" applyProtection="1">
      <alignment horizontal="center" vertical="top"/>
      <protection locked="0"/>
    </xf>
    <xf numFmtId="0" fontId="51" fillId="4" borderId="148" xfId="0" applyFont="1" applyFill="1" applyBorder="1" applyAlignment="1" applyProtection="1">
      <alignment horizontal="center" vertical="top"/>
      <protection locked="0"/>
    </xf>
    <xf numFmtId="0" fontId="51" fillId="4" borderId="149" xfId="0" applyFont="1" applyFill="1" applyBorder="1" applyAlignment="1" applyProtection="1">
      <alignment horizontal="center" vertical="top"/>
      <protection locked="0"/>
    </xf>
    <xf numFmtId="0" fontId="51" fillId="4" borderId="150" xfId="0" applyFont="1" applyFill="1" applyBorder="1" applyAlignment="1" applyProtection="1">
      <alignment horizontal="center" vertical="top"/>
      <protection locked="0"/>
    </xf>
    <xf numFmtId="0" fontId="51" fillId="4" borderId="151" xfId="0" applyFont="1" applyFill="1" applyBorder="1" applyAlignment="1" applyProtection="1">
      <alignment horizontal="center" vertical="top"/>
      <protection locked="0"/>
    </xf>
    <xf numFmtId="0" fontId="46" fillId="0" borderId="155" xfId="0" applyFont="1" applyFill="1" applyBorder="1" applyProtection="1">
      <protection hidden="1"/>
    </xf>
    <xf numFmtId="0" fontId="43" fillId="2" borderId="0" xfId="0" applyFont="1" applyFill="1" applyProtection="1">
      <protection hidden="1"/>
    </xf>
    <xf numFmtId="1" fontId="34" fillId="8" borderId="4" xfId="0" applyNumberFormat="1" applyFont="1" applyFill="1" applyBorder="1" applyAlignment="1" applyProtection="1">
      <alignment horizontal="center"/>
      <protection hidden="1"/>
    </xf>
    <xf numFmtId="0" fontId="44" fillId="2" borderId="0" xfId="0" applyFont="1" applyFill="1" applyProtection="1">
      <protection hidden="1"/>
    </xf>
    <xf numFmtId="0" fontId="51" fillId="8" borderId="0" xfId="0" applyFont="1" applyFill="1" applyBorder="1" applyAlignment="1" applyProtection="1">
      <alignment horizontal="center"/>
      <protection locked="0"/>
    </xf>
    <xf numFmtId="0" fontId="53" fillId="2" borderId="0" xfId="0" applyFont="1" applyFill="1" applyProtection="1">
      <protection hidden="1"/>
    </xf>
    <xf numFmtId="2" fontId="53" fillId="2" borderId="0" xfId="0" applyNumberFormat="1" applyFont="1" applyFill="1" applyProtection="1">
      <protection hidden="1"/>
    </xf>
  </cellXfs>
  <cellStyles count="3">
    <cellStyle name="Hyperlink" xfId="1" builtinId="8"/>
    <cellStyle name="Normal" xfId="0" builtinId="0"/>
    <cellStyle name="Normal 2" xfId="2"/>
  </cellStyles>
  <dxfs count="4"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FFDDEB"/>
      <color rgb="FF00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'Precision and trueness'!$Y$4</c:f>
          <c:strCache>
            <c:ptCount val="1"/>
            <c:pt idx="0">
              <c:v>test 1</c:v>
            </c:pt>
          </c:strCache>
        </c:strRef>
      </c:tx>
      <c:layout>
        <c:manualLayout>
          <c:xMode val="edge"/>
          <c:yMode val="edge"/>
          <c:x val="0.43074324324324326"/>
          <c:y val="2.935010482180293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761939085609896"/>
          <c:y val="0.12159354034316949"/>
          <c:w val="0.75238270178269495"/>
          <c:h val="0.748429205215714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'Precision and trueness'!$B$17</c:f>
              <c:strCache>
                <c:ptCount val="1"/>
                <c:pt idx="0">
                  <c:v>Group mean: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FFFF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'Precision and trueness'!$C$18:$L$18</c:f>
                <c:numCache>
                  <c:formatCode>General</c:formatCode>
                  <c:ptCount val="10"/>
                  <c:pt idx="0">
                    <c:v>0.10878112581387146</c:v>
                  </c:pt>
                  <c:pt idx="1">
                    <c:v>7.3029674334022188E-2</c:v>
                  </c:pt>
                  <c:pt idx="2">
                    <c:v>6.0092521257733095E-2</c:v>
                  </c:pt>
                  <c:pt idx="3">
                    <c:v>8.4112008250741388E-2</c:v>
                  </c:pt>
                  <c:pt idx="4">
                    <c:v>9.3094933625126247E-2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plus>
            <c:minus>
              <c:numRef>
                <c:f>'Precision and trueness'!$C$18:$L$18</c:f>
                <c:numCache>
                  <c:formatCode>General</c:formatCode>
                  <c:ptCount val="10"/>
                  <c:pt idx="0">
                    <c:v>0.10878112581387146</c:v>
                  </c:pt>
                  <c:pt idx="1">
                    <c:v>7.3029674334022188E-2</c:v>
                  </c:pt>
                  <c:pt idx="2">
                    <c:v>6.0092521257733095E-2</c:v>
                  </c:pt>
                  <c:pt idx="3">
                    <c:v>8.4112008250741388E-2</c:v>
                  </c:pt>
                  <c:pt idx="4">
                    <c:v>9.3094933625126247E-2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'P Calc'!$L$13:$L$22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xVal>
          <c:yVal>
            <c:numRef>
              <c:f>'Precision and trueness'!$C$17:$L$17</c:f>
              <c:numCache>
                <c:formatCode>0.00</c:formatCode>
                <c:ptCount val="10"/>
                <c:pt idx="0">
                  <c:v>5.6499999999999995</c:v>
                </c:pt>
                <c:pt idx="1">
                  <c:v>5.1000000000000005</c:v>
                </c:pt>
                <c:pt idx="2">
                  <c:v>5.0166666666666666</c:v>
                </c:pt>
                <c:pt idx="3">
                  <c:v>5.0571428571428578</c:v>
                </c:pt>
                <c:pt idx="4">
                  <c:v>5.1000000000000005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056-40F0-8DF2-3265EFF9EA60}"/>
            </c:ext>
          </c:extLst>
        </c:ser>
        <c:ser>
          <c:idx val="3"/>
          <c:order val="1"/>
          <c:tx>
            <c:strRef>
              <c:f>'P Calc'!$O$12</c:f>
              <c:strCache>
                <c:ptCount val="1"/>
                <c:pt idx="0">
                  <c:v>Target mean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'P Calc'!$N$13:$N$22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xVal>
          <c:yVal>
            <c:numRef>
              <c:f>'P Calc'!$O$13:$O$22</c:f>
              <c:numCache>
                <c:formatCode>General</c:formatCode>
                <c:ptCount val="10"/>
                <c:pt idx="0">
                  <c:v>5.0999999999999996</c:v>
                </c:pt>
                <c:pt idx="1">
                  <c:v>5.0999999999999996</c:v>
                </c:pt>
                <c:pt idx="2">
                  <c:v>5.0999999999999996</c:v>
                </c:pt>
                <c:pt idx="3">
                  <c:v>5.0999999999999996</c:v>
                </c:pt>
                <c:pt idx="4">
                  <c:v>5.0999999999999996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056-40F0-8DF2-3265EFF9EA60}"/>
            </c:ext>
          </c:extLst>
        </c:ser>
        <c:ser>
          <c:idx val="4"/>
          <c:order val="2"/>
          <c:tx>
            <c:strRef>
              <c:f>'P Calc'!$P$12</c:f>
              <c:strCache>
                <c:ptCount val="1"/>
                <c:pt idx="0">
                  <c:v>Target+2sd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xVal>
            <c:numRef>
              <c:f>'P Calc'!$N$13:$N$22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xVal>
          <c:yVal>
            <c:numRef>
              <c:f>'P Calc'!$P$13:$P$22</c:f>
              <c:numCache>
                <c:formatCode>General</c:formatCode>
                <c:ptCount val="10"/>
                <c:pt idx="0">
                  <c:v>5.5</c:v>
                </c:pt>
                <c:pt idx="1">
                  <c:v>5.5</c:v>
                </c:pt>
                <c:pt idx="2">
                  <c:v>5.5</c:v>
                </c:pt>
                <c:pt idx="3">
                  <c:v>5.5</c:v>
                </c:pt>
                <c:pt idx="4">
                  <c:v>5.5</c:v>
                </c:pt>
                <c:pt idx="5">
                  <c:v>5.5</c:v>
                </c:pt>
                <c:pt idx="6">
                  <c:v>5.5</c:v>
                </c:pt>
                <c:pt idx="7">
                  <c:v>5.5</c:v>
                </c:pt>
                <c:pt idx="8">
                  <c:v>5.5</c:v>
                </c:pt>
                <c:pt idx="9">
                  <c:v>5.5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056-40F0-8DF2-3265EFF9EA60}"/>
            </c:ext>
          </c:extLst>
        </c:ser>
        <c:ser>
          <c:idx val="5"/>
          <c:order val="3"/>
          <c:tx>
            <c:strRef>
              <c:f>'P Calc'!$Q$12</c:f>
              <c:strCache>
                <c:ptCount val="1"/>
                <c:pt idx="0">
                  <c:v>Target-2sd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xVal>
            <c:numRef>
              <c:f>'P Calc'!$N$13:$N$22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xVal>
          <c:yVal>
            <c:numRef>
              <c:f>'P Calc'!$Q$13:$Q$22</c:f>
              <c:numCache>
                <c:formatCode>General</c:formatCode>
                <c:ptCount val="10"/>
                <c:pt idx="0">
                  <c:v>4.6999999999999993</c:v>
                </c:pt>
                <c:pt idx="1">
                  <c:v>4.6999999999999993</c:v>
                </c:pt>
                <c:pt idx="2">
                  <c:v>4.6999999999999993</c:v>
                </c:pt>
                <c:pt idx="3">
                  <c:v>4.6999999999999993</c:v>
                </c:pt>
                <c:pt idx="4">
                  <c:v>4.6999999999999993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056-40F0-8DF2-3265EFF9EA60}"/>
            </c:ext>
          </c:extLst>
        </c:ser>
        <c:ser>
          <c:idx val="6"/>
          <c:order val="4"/>
          <c:tx>
            <c:strRef>
              <c:f>'P Calc'!$X$16</c:f>
              <c:strCache>
                <c:ptCount val="1"/>
                <c:pt idx="0">
                  <c:v>Found mean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'P Calc'!$W$17:$W$26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xVal>
          <c:yVal>
            <c:numRef>
              <c:f>'P Calc'!$X$17:$X$26</c:f>
              <c:numCache>
                <c:formatCode>General</c:formatCode>
                <c:ptCount val="10"/>
                <c:pt idx="0">
                  <c:v>5.1847619047619045</c:v>
                </c:pt>
                <c:pt idx="1">
                  <c:v>5.1847619047619045</c:v>
                </c:pt>
                <c:pt idx="2">
                  <c:v>5.1847619047619045</c:v>
                </c:pt>
                <c:pt idx="3">
                  <c:v>5.1847619047619045</c:v>
                </c:pt>
                <c:pt idx="4">
                  <c:v>5.1847619047619045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056-40F0-8DF2-3265EFF9EA60}"/>
            </c:ext>
          </c:extLst>
        </c:ser>
        <c:ser>
          <c:idx val="5"/>
          <c:order val="5"/>
          <c:tx>
            <c:strRef>
              <c:f>'P Calc'!$Y$16</c:f>
              <c:strCache>
                <c:ptCount val="1"/>
                <c:pt idx="0">
                  <c:v>Found +2sd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none"/>
          </c:marker>
          <c:xVal>
            <c:numRef>
              <c:f>'P Calc'!$W$17:$W$26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xVal>
          <c:yVal>
            <c:numRef>
              <c:f>'P Calc'!$Y$17:$Y$26</c:f>
              <c:numCache>
                <c:formatCode>General</c:formatCode>
                <c:ptCount val="10"/>
                <c:pt idx="0">
                  <c:v>5.8342049659170394</c:v>
                </c:pt>
                <c:pt idx="1">
                  <c:v>5.8342049659170394</c:v>
                </c:pt>
                <c:pt idx="2">
                  <c:v>5.8342049659170394</c:v>
                </c:pt>
                <c:pt idx="3">
                  <c:v>5.8342049659170394</c:v>
                </c:pt>
                <c:pt idx="4">
                  <c:v>5.8342049659170394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D056-40F0-8DF2-3265EFF9EA60}"/>
            </c:ext>
          </c:extLst>
        </c:ser>
        <c:ser>
          <c:idx val="6"/>
          <c:order val="6"/>
          <c:tx>
            <c:strRef>
              <c:f>'P Calc'!$Z$16</c:f>
              <c:strCache>
                <c:ptCount val="1"/>
                <c:pt idx="0">
                  <c:v>Found -2sd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ysDash"/>
            </a:ln>
          </c:spPr>
          <c:marker>
            <c:symbol val="none"/>
          </c:marker>
          <c:xVal>
            <c:numRef>
              <c:f>'P Calc'!$W$17:$W$26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xVal>
          <c:yVal>
            <c:numRef>
              <c:f>'P Calc'!$Z$17:$Z$26</c:f>
              <c:numCache>
                <c:formatCode>General</c:formatCode>
                <c:ptCount val="10"/>
                <c:pt idx="0">
                  <c:v>4.5353188436067695</c:v>
                </c:pt>
                <c:pt idx="1">
                  <c:v>4.5353188436067695</c:v>
                </c:pt>
                <c:pt idx="2">
                  <c:v>4.5353188436067695</c:v>
                </c:pt>
                <c:pt idx="3">
                  <c:v>4.5353188436067695</c:v>
                </c:pt>
                <c:pt idx="4">
                  <c:v>4.5353188436067695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D056-40F0-8DF2-3265EFF9E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494784"/>
        <c:axId val="41495936"/>
      </c:scatterChart>
      <c:valAx>
        <c:axId val="41494784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Series</a:t>
                </a:r>
              </a:p>
            </c:rich>
          </c:tx>
          <c:layout>
            <c:manualLayout>
              <c:xMode val="edge"/>
              <c:yMode val="edge"/>
              <c:x val="0.47142955948074056"/>
              <c:y val="0.926626718829957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495936"/>
        <c:crosses val="autoZero"/>
        <c:crossBetween val="midCat"/>
        <c:majorUnit val="1"/>
      </c:valAx>
      <c:valAx>
        <c:axId val="41495936"/>
        <c:scaling>
          <c:orientation val="minMax"/>
          <c:min val="4"/>
        </c:scaling>
        <c:delete val="0"/>
        <c:axPos val="l"/>
        <c:title>
          <c:tx>
            <c:strRef>
              <c:f>'Precision and trueness'!$C$52</c:f>
              <c:strCache>
                <c:ptCount val="1"/>
                <c:pt idx="0">
                  <c:v>Mean ± SEM</c:v>
                </c:pt>
              </c:strCache>
            </c:strRef>
          </c:tx>
          <c:layout>
            <c:manualLayout>
              <c:xMode val="edge"/>
              <c:yMode val="edge"/>
              <c:x val="3.3333333333333333E-2"/>
              <c:y val="0.45492750513104097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494784"/>
        <c:crosses val="autoZero"/>
        <c:crossBetween val="midCat"/>
      </c:valAx>
      <c:spPr>
        <a:gradFill rotWithShape="0">
          <a:gsLst>
            <a:gs pos="0">
              <a:srgbClr val="FFFF99"/>
            </a:gs>
            <a:gs pos="100000">
              <a:srgbClr val="99CC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75168972121728028"/>
          <c:y val="3.9832285115303984E-2"/>
          <c:w val="0.23648666382918349"/>
          <c:h val="0.12159351150288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'Precision and trueness'!$Z$4</c:f>
          <c:strCache>
            <c:ptCount val="1"/>
            <c:pt idx="0">
              <c:v>test 2</c:v>
            </c:pt>
          </c:strCache>
        </c:strRef>
      </c:tx>
      <c:layout>
        <c:manualLayout>
          <c:xMode val="edge"/>
          <c:yMode val="edge"/>
          <c:x val="0.4228855721393035"/>
          <c:y val="2.92887029288702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000034877313256"/>
          <c:y val="0.11087877435152002"/>
          <c:w val="0.74285887011456153"/>
          <c:h val="0.75523089699808998"/>
        </c:manualLayout>
      </c:layout>
      <c:scatterChart>
        <c:scatterStyle val="lineMarker"/>
        <c:varyColors val="0"/>
        <c:ser>
          <c:idx val="0"/>
          <c:order val="0"/>
          <c:tx>
            <c:strRef>
              <c:f>'Precision and trueness'!$B$17</c:f>
              <c:strCache>
                <c:ptCount val="1"/>
                <c:pt idx="0">
                  <c:v>Group mean: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FFFF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'Precision and trueness'!$M$18:$V$18</c:f>
                <c:numCache>
                  <c:formatCode>General</c:formatCode>
                  <c:ptCount val="10"/>
                  <c:pt idx="0">
                    <c:v>8.850612031567838E-2</c:v>
                  </c:pt>
                  <c:pt idx="1">
                    <c:v>6.6666666666666763E-2</c:v>
                  </c:pt>
                  <c:pt idx="2">
                    <c:v>0.13601470508735453</c:v>
                  </c:pt>
                  <c:pt idx="3">
                    <c:v>0.11155467020454339</c:v>
                  </c:pt>
                  <c:pt idx="4">
                    <c:v>9.3094933625126206E-2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plus>
            <c:minus>
              <c:numRef>
                <c:f>'Precision and trueness'!$M$18:$V$18</c:f>
                <c:numCache>
                  <c:formatCode>General</c:formatCode>
                  <c:ptCount val="10"/>
                  <c:pt idx="0">
                    <c:v>8.850612031567838E-2</c:v>
                  </c:pt>
                  <c:pt idx="1">
                    <c:v>6.6666666666666763E-2</c:v>
                  </c:pt>
                  <c:pt idx="2">
                    <c:v>0.13601470508735453</c:v>
                  </c:pt>
                  <c:pt idx="3">
                    <c:v>0.11155467020454339</c:v>
                  </c:pt>
                  <c:pt idx="4">
                    <c:v>9.3094933625126206E-2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'P Calc'!$L$23:$L$32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xVal>
          <c:yVal>
            <c:numRef>
              <c:f>'Precision and trueness'!$M$17:$V$17</c:f>
              <c:numCache>
                <c:formatCode>0.00</c:formatCode>
                <c:ptCount val="10"/>
                <c:pt idx="0">
                  <c:v>10.15</c:v>
                </c:pt>
                <c:pt idx="1">
                  <c:v>10.833333333333334</c:v>
                </c:pt>
                <c:pt idx="2">
                  <c:v>11.350000000000001</c:v>
                </c:pt>
                <c:pt idx="3">
                  <c:v>11.333333333333334</c:v>
                </c:pt>
                <c:pt idx="4">
                  <c:v>11.1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05D-4779-A5A3-77719BB9E7FB}"/>
            </c:ext>
          </c:extLst>
        </c:ser>
        <c:ser>
          <c:idx val="5"/>
          <c:order val="1"/>
          <c:tx>
            <c:strRef>
              <c:f>'P Calc'!$O$12</c:f>
              <c:strCache>
                <c:ptCount val="1"/>
                <c:pt idx="0">
                  <c:v>Target mean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'P Calc'!$N$23:$N$32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xVal>
          <c:yVal>
            <c:numRef>
              <c:f>'P Calc'!$O$23:$O$32</c:f>
              <c:numCache>
                <c:formatCode>General</c:formatCode>
                <c:ptCount val="10"/>
                <c:pt idx="0">
                  <c:v>10.8</c:v>
                </c:pt>
                <c:pt idx="1">
                  <c:v>10.8</c:v>
                </c:pt>
                <c:pt idx="2">
                  <c:v>10.8</c:v>
                </c:pt>
                <c:pt idx="3">
                  <c:v>10.8</c:v>
                </c:pt>
                <c:pt idx="4">
                  <c:v>10.8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5D-4779-A5A3-77719BB9E7FB}"/>
            </c:ext>
          </c:extLst>
        </c:ser>
        <c:ser>
          <c:idx val="6"/>
          <c:order val="2"/>
          <c:tx>
            <c:strRef>
              <c:f>'P Calc'!$P$12</c:f>
              <c:strCache>
                <c:ptCount val="1"/>
                <c:pt idx="0">
                  <c:v>Target+2sd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xVal>
            <c:numRef>
              <c:f>'P Calc'!$N$23:$N$32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xVal>
          <c:yVal>
            <c:numRef>
              <c:f>'P Calc'!$P$23:$P$32</c:f>
              <c:numCache>
                <c:formatCode>General</c:formatCode>
                <c:ptCount val="10"/>
                <c:pt idx="0">
                  <c:v>12.96</c:v>
                </c:pt>
                <c:pt idx="1">
                  <c:v>12.96</c:v>
                </c:pt>
                <c:pt idx="2">
                  <c:v>12.96</c:v>
                </c:pt>
                <c:pt idx="3">
                  <c:v>12.96</c:v>
                </c:pt>
                <c:pt idx="4">
                  <c:v>12.96</c:v>
                </c:pt>
                <c:pt idx="5">
                  <c:v>12.96</c:v>
                </c:pt>
                <c:pt idx="6">
                  <c:v>12.96</c:v>
                </c:pt>
                <c:pt idx="7">
                  <c:v>12.96</c:v>
                </c:pt>
                <c:pt idx="8">
                  <c:v>12.96</c:v>
                </c:pt>
                <c:pt idx="9">
                  <c:v>12.96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05D-4779-A5A3-77719BB9E7FB}"/>
            </c:ext>
          </c:extLst>
        </c:ser>
        <c:ser>
          <c:idx val="5"/>
          <c:order val="3"/>
          <c:tx>
            <c:strRef>
              <c:f>'P Calc'!$Q$12</c:f>
              <c:strCache>
                <c:ptCount val="1"/>
                <c:pt idx="0">
                  <c:v>Target-2sd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xVal>
            <c:numRef>
              <c:f>'P Calc'!$N$23:$N$32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xVal>
          <c:yVal>
            <c:numRef>
              <c:f>'P Calc'!$Q$23:$Q$32</c:f>
              <c:numCache>
                <c:formatCode>General</c:formatCode>
                <c:ptCount val="10"/>
                <c:pt idx="0">
                  <c:v>8.64</c:v>
                </c:pt>
                <c:pt idx="1">
                  <c:v>8.64</c:v>
                </c:pt>
                <c:pt idx="2">
                  <c:v>8.64</c:v>
                </c:pt>
                <c:pt idx="3">
                  <c:v>8.64</c:v>
                </c:pt>
                <c:pt idx="4">
                  <c:v>8.64</c:v>
                </c:pt>
                <c:pt idx="5">
                  <c:v>8.64</c:v>
                </c:pt>
                <c:pt idx="6">
                  <c:v>8.64</c:v>
                </c:pt>
                <c:pt idx="7">
                  <c:v>8.64</c:v>
                </c:pt>
                <c:pt idx="8">
                  <c:v>8.64</c:v>
                </c:pt>
                <c:pt idx="9">
                  <c:v>8.64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05D-4779-A5A3-77719BB9E7FB}"/>
            </c:ext>
          </c:extLst>
        </c:ser>
        <c:ser>
          <c:idx val="6"/>
          <c:order val="4"/>
          <c:tx>
            <c:strRef>
              <c:f>'P Calc'!$X$16</c:f>
              <c:strCache>
                <c:ptCount val="1"/>
                <c:pt idx="0">
                  <c:v>Found mean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'P Calc'!$W$27:$W$36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xVal>
          <c:yVal>
            <c:numRef>
              <c:f>'P Calc'!$X$27:$X$36</c:f>
              <c:numCache>
                <c:formatCode>General</c:formatCode>
                <c:ptCount val="10"/>
                <c:pt idx="0">
                  <c:v>10.953333333333335</c:v>
                </c:pt>
                <c:pt idx="1">
                  <c:v>10.953333333333335</c:v>
                </c:pt>
                <c:pt idx="2">
                  <c:v>10.953333333333335</c:v>
                </c:pt>
                <c:pt idx="3">
                  <c:v>10.953333333333335</c:v>
                </c:pt>
                <c:pt idx="4">
                  <c:v>10.953333333333335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205D-4779-A5A3-77719BB9E7FB}"/>
            </c:ext>
          </c:extLst>
        </c:ser>
        <c:ser>
          <c:idx val="1"/>
          <c:order val="5"/>
          <c:tx>
            <c:strRef>
              <c:f>'P Calc'!$Y$16</c:f>
              <c:strCache>
                <c:ptCount val="1"/>
                <c:pt idx="0">
                  <c:v>Found +2sd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none"/>
          </c:marker>
          <c:xVal>
            <c:numRef>
              <c:f>'P Calc'!$W$27:$W$36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xVal>
          <c:yVal>
            <c:numRef>
              <c:f>'P Calc'!$Y$27:$Y$36</c:f>
              <c:numCache>
                <c:formatCode>General</c:formatCode>
                <c:ptCount val="10"/>
                <c:pt idx="0">
                  <c:v>12.044459153555565</c:v>
                </c:pt>
                <c:pt idx="1">
                  <c:v>12.044459153555565</c:v>
                </c:pt>
                <c:pt idx="2">
                  <c:v>12.044459153555565</c:v>
                </c:pt>
                <c:pt idx="3">
                  <c:v>12.044459153555565</c:v>
                </c:pt>
                <c:pt idx="4">
                  <c:v>12.044459153555565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205D-4779-A5A3-77719BB9E7FB}"/>
            </c:ext>
          </c:extLst>
        </c:ser>
        <c:ser>
          <c:idx val="2"/>
          <c:order val="6"/>
          <c:tx>
            <c:strRef>
              <c:f>'P Calc'!$Z$16</c:f>
              <c:strCache>
                <c:ptCount val="1"/>
                <c:pt idx="0">
                  <c:v>Found -2sd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none"/>
          </c:marker>
          <c:xVal>
            <c:numRef>
              <c:f>'P Calc'!$W$27:$W$36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xVal>
          <c:yVal>
            <c:numRef>
              <c:f>'P Calc'!$Z$27:$Z$36</c:f>
              <c:numCache>
                <c:formatCode>General</c:formatCode>
                <c:ptCount val="10"/>
                <c:pt idx="0">
                  <c:v>9.8622075131111053</c:v>
                </c:pt>
                <c:pt idx="1">
                  <c:v>9.8622075131111053</c:v>
                </c:pt>
                <c:pt idx="2">
                  <c:v>9.8622075131111053</c:v>
                </c:pt>
                <c:pt idx="3">
                  <c:v>9.8622075131111053</c:v>
                </c:pt>
                <c:pt idx="4">
                  <c:v>9.8622075131111053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205D-4779-A5A3-77719BB9E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499392"/>
        <c:axId val="44933120"/>
      </c:scatterChart>
      <c:valAx>
        <c:axId val="41499392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Series</a:t>
                </a:r>
              </a:p>
            </c:rich>
          </c:tx>
          <c:layout>
            <c:manualLayout>
              <c:xMode val="edge"/>
              <c:yMode val="edge"/>
              <c:x val="0.46904863260251672"/>
              <c:y val="0.922595020810683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33120"/>
        <c:crosses val="autoZero"/>
        <c:crossBetween val="midCat"/>
        <c:majorUnit val="1"/>
      </c:valAx>
      <c:valAx>
        <c:axId val="44933120"/>
        <c:scaling>
          <c:orientation val="minMax"/>
          <c:min val="7"/>
        </c:scaling>
        <c:delete val="0"/>
        <c:axPos val="l"/>
        <c:title>
          <c:tx>
            <c:strRef>
              <c:f>'Precision and trueness'!$C$52</c:f>
              <c:strCache>
                <c:ptCount val="1"/>
                <c:pt idx="0">
                  <c:v>Mean ± SEM</c:v>
                </c:pt>
              </c:strCache>
            </c:strRef>
          </c:tx>
          <c:layout>
            <c:manualLayout>
              <c:xMode val="edge"/>
              <c:yMode val="edge"/>
              <c:x val="3.571434167743958E-2"/>
              <c:y val="0.44769918404550896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499392"/>
        <c:crosses val="autoZero"/>
        <c:crossBetween val="midCat"/>
      </c:valAx>
      <c:spPr>
        <a:gradFill rotWithShape="0">
          <a:gsLst>
            <a:gs pos="0">
              <a:srgbClr val="99CCFF"/>
            </a:gs>
            <a:gs pos="100000">
              <a:srgbClr val="FFFF99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74958662505495277"/>
          <c:y val="3.1380753138075312E-2"/>
          <c:w val="0.23714794357173008"/>
          <c:h val="0.121339131771708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76183715554327"/>
          <c:y val="0.14101605538512157"/>
          <c:w val="0.80245008728430434"/>
          <c:h val="0.69946806646716253"/>
        </c:manualLayout>
      </c:layout>
      <c:barChart>
        <c:barDir val="col"/>
        <c:grouping val="stacked"/>
        <c:varyColors val="0"/>
        <c:ser>
          <c:idx val="0"/>
          <c:order val="0"/>
          <c:spPr>
            <a:noFill/>
            <a:ln>
              <a:noFill/>
            </a:ln>
          </c:spPr>
          <c:invertIfNegative val="0"/>
          <c:cat>
            <c:strRef>
              <c:f>'Trueness, Reference material'!$W$11:$W$14</c:f>
            </c:strRef>
          </c:cat>
          <c:val>
            <c:numRef>
              <c:f>'Trueness, Reference material'!$X$11:$X$14</c:f>
              <c:numCache>
                <c:formatCode>General</c:formatCode>
                <c:ptCount val="4"/>
                <c:pt idx="0" formatCode="0.00">
                  <c:v>0</c:v>
                </c:pt>
                <c:pt idx="1">
                  <c:v>0</c:v>
                </c:pt>
                <c:pt idx="2" formatCode="0.00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invertIfNegative val="0"/>
          <c:errBars>
            <c:errBarType val="both"/>
            <c:errValType val="cust"/>
            <c:noEndCap val="0"/>
            <c:plus>
              <c:numRef>
                <c:f>'Trueness, Reference material'!$Z$11:$Z$14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'Trueness, Reference material'!$Z$11:$Z$14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>
                <a:solidFill>
                  <a:srgbClr val="FF0000"/>
                </a:solidFill>
              </a:ln>
            </c:spPr>
          </c:errBars>
          <c:cat>
            <c:strRef>
              <c:f>'Trueness, Reference material'!$W$11:$W$14</c:f>
            </c:strRef>
          </c:cat>
          <c:val>
            <c:numRef>
              <c:f>'Trueness, Reference material'!$Y$11:$Y$14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476032"/>
        <c:axId val="209469440"/>
      </c:barChart>
      <c:catAx>
        <c:axId val="154476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200"/>
                  <a:t>Component</a:t>
                </a:r>
              </a:p>
            </c:rich>
          </c:tx>
          <c:layout>
            <c:manualLayout>
              <c:xMode val="edge"/>
              <c:yMode val="edge"/>
              <c:x val="0.464741703032372"/>
              <c:y val="0.92877158801395621"/>
            </c:manualLayout>
          </c:layout>
          <c:overlay val="0"/>
        </c:title>
        <c:majorTickMark val="out"/>
        <c:minorTickMark val="none"/>
        <c:tickLblPos val="nextTo"/>
        <c:crossAx val="209469440"/>
        <c:crosses val="autoZero"/>
        <c:auto val="1"/>
        <c:lblAlgn val="ctr"/>
        <c:lblOffset val="100"/>
        <c:noMultiLvlLbl val="0"/>
      </c:catAx>
      <c:valAx>
        <c:axId val="2094694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Quantity value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54476032"/>
        <c:crosses val="autoZero"/>
        <c:crossBetween val="between"/>
      </c:valAx>
    </c:plotArea>
    <c:plotVisOnly val="1"/>
    <c:dispBlanksAs val="gap"/>
    <c:showDLblsOverMax val="0"/>
  </c:chart>
  <c:spPr>
    <a:solidFill>
      <a:srgbClr val="FFDDEB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20</xdr:row>
      <xdr:rowOff>114300</xdr:rowOff>
    </xdr:from>
    <xdr:to>
      <xdr:col>11</xdr:col>
      <xdr:colOff>352425</xdr:colOff>
      <xdr:row>39</xdr:row>
      <xdr:rowOff>114300</xdr:rowOff>
    </xdr:to>
    <xdr:graphicFrame macro="">
      <xdr:nvGraphicFramePr>
        <xdr:cNvPr id="12339" name="Chart 3">
          <a:extLst>
            <a:ext uri="{FF2B5EF4-FFF2-40B4-BE49-F238E27FC236}">
              <a16:creationId xmlns:a16="http://schemas.microsoft.com/office/drawing/2014/main" xmlns="" id="{00000000-0008-0000-0000-0000333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76200</xdr:colOff>
      <xdr:row>20</xdr:row>
      <xdr:rowOff>104775</xdr:rowOff>
    </xdr:from>
    <xdr:to>
      <xdr:col>22</xdr:col>
      <xdr:colOff>9525</xdr:colOff>
      <xdr:row>39</xdr:row>
      <xdr:rowOff>114300</xdr:rowOff>
    </xdr:to>
    <xdr:graphicFrame macro="">
      <xdr:nvGraphicFramePr>
        <xdr:cNvPr id="12340" name="Chart 6">
          <a:extLst>
            <a:ext uri="{FF2B5EF4-FFF2-40B4-BE49-F238E27FC236}">
              <a16:creationId xmlns:a16="http://schemas.microsoft.com/office/drawing/2014/main" xmlns="" id="{00000000-0008-0000-0000-0000343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247255</xdr:colOff>
      <xdr:row>9</xdr:row>
      <xdr:rowOff>19049</xdr:rowOff>
    </xdr:from>
    <xdr:to>
      <xdr:col>27</xdr:col>
      <xdr:colOff>548085</xdr:colOff>
      <xdr:row>24</xdr:row>
      <xdr:rowOff>168672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nders.kallner@ki.se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Z104"/>
  <sheetViews>
    <sheetView topLeftCell="S2" zoomScale="70" zoomScaleNormal="70" workbookViewId="0">
      <selection activeCell="X43" sqref="X43"/>
    </sheetView>
  </sheetViews>
  <sheetFormatPr defaultColWidth="9.140625" defaultRowHeight="12.75" x14ac:dyDescent="0.2"/>
  <cols>
    <col min="1" max="1" width="5.28515625" style="48" customWidth="1"/>
    <col min="2" max="2" width="6.42578125" style="48" customWidth="1"/>
    <col min="3" max="22" width="8.7109375" style="48" customWidth="1"/>
    <col min="23" max="23" width="6" style="48" customWidth="1"/>
    <col min="24" max="24" width="30.140625" style="48" customWidth="1"/>
    <col min="25" max="26" width="8.7109375" style="48" customWidth="1"/>
    <col min="27" max="27" width="8.85546875" style="48" customWidth="1"/>
    <col min="28" max="28" width="13.5703125" style="48" customWidth="1"/>
    <col min="29" max="30" width="11" style="48" customWidth="1"/>
    <col min="31" max="34" width="8.7109375" style="48" customWidth="1"/>
    <col min="35" max="35" width="11" style="48" customWidth="1"/>
    <col min="36" max="36" width="9" style="48" customWidth="1"/>
    <col min="37" max="37" width="9.28515625" style="48" customWidth="1"/>
    <col min="38" max="38" width="10.5703125" style="48" bestFit="1" customWidth="1"/>
    <col min="39" max="39" width="9" style="48" customWidth="1"/>
    <col min="40" max="40" width="8.5703125" style="48" customWidth="1"/>
    <col min="41" max="41" width="7.7109375" style="48" customWidth="1"/>
    <col min="42" max="42" width="10.5703125" style="48" bestFit="1" customWidth="1"/>
    <col min="43" max="16384" width="9.140625" style="48"/>
  </cols>
  <sheetData>
    <row r="1" spans="1:52" ht="15.75" x14ac:dyDescent="0.25">
      <c r="A1" s="4"/>
      <c r="B1" s="5"/>
      <c r="C1" s="328" t="s">
        <v>4</v>
      </c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30"/>
      <c r="W1" s="41"/>
      <c r="X1" s="42"/>
      <c r="Y1" s="43"/>
      <c r="Z1" s="43"/>
      <c r="AA1" s="43"/>
      <c r="AB1" s="43"/>
      <c r="AC1" s="43"/>
      <c r="AD1" s="43"/>
      <c r="AE1" s="43"/>
      <c r="AF1" s="44"/>
      <c r="AG1" s="44"/>
      <c r="AH1" s="45"/>
      <c r="AI1" s="45"/>
      <c r="AJ1" s="46"/>
      <c r="AK1" s="46"/>
      <c r="AL1" s="46"/>
      <c r="AM1" s="46"/>
      <c r="AN1" s="46"/>
      <c r="AO1" s="46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</row>
    <row r="2" spans="1:52" ht="15.75" x14ac:dyDescent="0.25">
      <c r="A2" s="6"/>
      <c r="B2" s="7"/>
      <c r="C2" s="331" t="str">
        <f>IF(ISBLANK(Y4),"",Y4)</f>
        <v>test 1</v>
      </c>
      <c r="D2" s="332"/>
      <c r="E2" s="332"/>
      <c r="F2" s="332"/>
      <c r="G2" s="332"/>
      <c r="H2" s="332"/>
      <c r="I2" s="332"/>
      <c r="J2" s="332"/>
      <c r="K2" s="332"/>
      <c r="L2" s="333"/>
      <c r="M2" s="334" t="str">
        <f>IF(ISBLANK(Z4),"",Z4)</f>
        <v>test 2</v>
      </c>
      <c r="N2" s="332"/>
      <c r="O2" s="332"/>
      <c r="P2" s="332"/>
      <c r="Q2" s="332"/>
      <c r="R2" s="332"/>
      <c r="S2" s="332"/>
      <c r="T2" s="332"/>
      <c r="U2" s="332"/>
      <c r="V2" s="335"/>
      <c r="W2" s="49"/>
      <c r="X2" s="50"/>
      <c r="Y2" s="51">
        <f>COUNT(C5:C6)+COUNT(D5:D6)</f>
        <v>4</v>
      </c>
      <c r="Z2" s="51">
        <f>COUNT(M5:M6)+COUNT(N5:N6)</f>
        <v>4</v>
      </c>
      <c r="AA2" s="45"/>
      <c r="AB2" s="45"/>
      <c r="AC2" s="45"/>
      <c r="AD2" s="45"/>
      <c r="AE2" s="45"/>
      <c r="AF2" s="45"/>
      <c r="AG2" s="45"/>
      <c r="AH2" s="45"/>
      <c r="AI2" s="46"/>
      <c r="AJ2" s="46"/>
      <c r="AK2" s="46"/>
      <c r="AL2" s="46"/>
      <c r="AM2" s="46"/>
      <c r="AN2" s="46"/>
      <c r="AO2" s="46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</row>
    <row r="3" spans="1:52" ht="16.5" thickBot="1" x14ac:dyDescent="0.3">
      <c r="A3" s="6"/>
      <c r="B3" s="52" t="s">
        <v>127</v>
      </c>
      <c r="C3" s="272"/>
      <c r="D3" s="272"/>
      <c r="E3" s="272"/>
      <c r="F3" s="272"/>
      <c r="G3" s="272"/>
      <c r="H3" s="272"/>
      <c r="I3" s="272"/>
      <c r="J3" s="272"/>
      <c r="K3" s="272"/>
      <c r="L3" s="273"/>
      <c r="M3" s="274"/>
      <c r="N3" s="272"/>
      <c r="O3" s="272"/>
      <c r="P3" s="272"/>
      <c r="Q3" s="272"/>
      <c r="R3" s="272"/>
      <c r="S3" s="272"/>
      <c r="T3" s="272"/>
      <c r="U3" s="272"/>
      <c r="V3" s="275"/>
      <c r="W3" s="53"/>
      <c r="X3" s="50"/>
      <c r="Y3" s="51"/>
      <c r="Z3" s="51"/>
      <c r="AA3" s="45"/>
      <c r="AB3" s="45"/>
      <c r="AC3" s="45"/>
      <c r="AD3" s="45"/>
      <c r="AE3" s="45"/>
      <c r="AF3" s="45"/>
      <c r="AG3" s="45"/>
      <c r="AH3" s="45"/>
      <c r="AI3" s="46"/>
      <c r="AJ3" s="46"/>
      <c r="AK3" s="46"/>
      <c r="AL3" s="46"/>
      <c r="AM3" s="46"/>
      <c r="AN3" s="46"/>
      <c r="AO3" s="46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</row>
    <row r="4" spans="1:52" ht="13.5" thickTop="1" x14ac:dyDescent="0.2">
      <c r="A4" s="54"/>
      <c r="B4" s="55"/>
      <c r="C4" s="56" t="s">
        <v>5</v>
      </c>
      <c r="D4" s="56" t="s">
        <v>6</v>
      </c>
      <c r="E4" s="56" t="s">
        <v>7</v>
      </c>
      <c r="F4" s="56" t="s">
        <v>8</v>
      </c>
      <c r="G4" s="56" t="s">
        <v>9</v>
      </c>
      <c r="H4" s="56" t="s">
        <v>10</v>
      </c>
      <c r="I4" s="56" t="s">
        <v>11</v>
      </c>
      <c r="J4" s="56" t="s">
        <v>143</v>
      </c>
      <c r="K4" s="56" t="s">
        <v>144</v>
      </c>
      <c r="L4" s="57" t="s">
        <v>145</v>
      </c>
      <c r="M4" s="58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6" t="s">
        <v>18</v>
      </c>
      <c r="T4" s="56" t="s">
        <v>146</v>
      </c>
      <c r="U4" s="56" t="s">
        <v>147</v>
      </c>
      <c r="V4" s="271" t="s">
        <v>148</v>
      </c>
      <c r="W4" s="59"/>
      <c r="X4" s="60" t="s">
        <v>19</v>
      </c>
      <c r="Y4" s="336" t="s">
        <v>153</v>
      </c>
      <c r="Z4" s="338" t="s">
        <v>154</v>
      </c>
      <c r="AA4" s="340" t="str">
        <f>IF(ISBLANK($Y$4),"",$Y$4)</f>
        <v>test 1</v>
      </c>
      <c r="AB4" s="321"/>
      <c r="AC4" s="321"/>
      <c r="AD4" s="321"/>
      <c r="AE4" s="321" t="str">
        <f>IF(ISBLANK(Z4),"",Z4)</f>
        <v>test 2</v>
      </c>
      <c r="AF4" s="321"/>
      <c r="AG4" s="321"/>
      <c r="AH4" s="321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</row>
    <row r="5" spans="1:52" ht="20.100000000000001" customHeight="1" thickBot="1" x14ac:dyDescent="0.25">
      <c r="A5" s="322" t="s">
        <v>20</v>
      </c>
      <c r="B5" s="61" t="s">
        <v>128</v>
      </c>
      <c r="C5" s="62">
        <v>5.6</v>
      </c>
      <c r="D5" s="63">
        <v>5.4</v>
      </c>
      <c r="E5" s="63">
        <v>4.9000000000000004</v>
      </c>
      <c r="F5" s="63">
        <v>4.8</v>
      </c>
      <c r="G5" s="63">
        <v>5.0999999999999996</v>
      </c>
      <c r="H5" s="63"/>
      <c r="I5" s="64"/>
      <c r="J5" s="65"/>
      <c r="K5" s="66"/>
      <c r="L5" s="65"/>
      <c r="M5" s="67">
        <v>10.1</v>
      </c>
      <c r="N5" s="63">
        <v>11</v>
      </c>
      <c r="O5" s="63">
        <v>11</v>
      </c>
      <c r="P5" s="63">
        <v>11.5</v>
      </c>
      <c r="Q5" s="63">
        <v>11</v>
      </c>
      <c r="R5" s="68"/>
      <c r="S5" s="63"/>
      <c r="T5" s="63"/>
      <c r="U5" s="63"/>
      <c r="V5" s="69"/>
      <c r="W5" s="70">
        <f t="shared" ref="W5:W14" si="0">C5+D5+E5+F5+G5+H5+I5+M5+N5+O5+P5+Q5+R5+S5</f>
        <v>80.400000000000006</v>
      </c>
      <c r="X5" s="71"/>
      <c r="Y5" s="337"/>
      <c r="Z5" s="339"/>
      <c r="AA5" s="72"/>
      <c r="AB5" s="45"/>
      <c r="AC5" s="73" t="s">
        <v>21</v>
      </c>
      <c r="AD5" s="45"/>
      <c r="AE5" s="45"/>
      <c r="AF5" s="45"/>
      <c r="AG5" s="73" t="s">
        <v>21</v>
      </c>
      <c r="AH5" s="45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</row>
    <row r="6" spans="1:52" ht="20.100000000000001" customHeight="1" thickTop="1" x14ac:dyDescent="0.2">
      <c r="A6" s="323"/>
      <c r="B6" s="74" t="s">
        <v>129</v>
      </c>
      <c r="C6" s="75">
        <v>5.8</v>
      </c>
      <c r="D6" s="76">
        <v>5.2</v>
      </c>
      <c r="E6" s="76">
        <v>5</v>
      </c>
      <c r="F6" s="76">
        <v>5.5</v>
      </c>
      <c r="G6" s="76">
        <v>5.2</v>
      </c>
      <c r="H6" s="76"/>
      <c r="I6" s="77"/>
      <c r="J6" s="78"/>
      <c r="K6" s="79"/>
      <c r="L6" s="78"/>
      <c r="M6" s="80">
        <v>10.3</v>
      </c>
      <c r="N6" s="76">
        <v>10.9</v>
      </c>
      <c r="O6" s="76">
        <v>11.5</v>
      </c>
      <c r="P6" s="76">
        <v>11.1</v>
      </c>
      <c r="Q6" s="76">
        <v>10.9</v>
      </c>
      <c r="R6" s="81"/>
      <c r="S6" s="76"/>
      <c r="T6" s="76"/>
      <c r="U6" s="76"/>
      <c r="V6" s="82"/>
      <c r="W6" s="70">
        <f t="shared" si="0"/>
        <v>81.400000000000006</v>
      </c>
      <c r="X6" s="325"/>
      <c r="Y6" s="326"/>
      <c r="Z6" s="327"/>
      <c r="AA6" s="83" t="s">
        <v>22</v>
      </c>
      <c r="AB6" s="73" t="s">
        <v>23</v>
      </c>
      <c r="AC6" s="73" t="s">
        <v>24</v>
      </c>
      <c r="AD6" s="73" t="s">
        <v>25</v>
      </c>
      <c r="AE6" s="73" t="s">
        <v>22</v>
      </c>
      <c r="AF6" s="73" t="s">
        <v>23</v>
      </c>
      <c r="AG6" s="73" t="s">
        <v>24</v>
      </c>
      <c r="AH6" s="73" t="s">
        <v>25</v>
      </c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</row>
    <row r="7" spans="1:52" ht="20.100000000000001" customHeight="1" thickBot="1" x14ac:dyDescent="0.25">
      <c r="A7" s="323"/>
      <c r="B7" s="74" t="s">
        <v>130</v>
      </c>
      <c r="C7" s="75">
        <v>5.4</v>
      </c>
      <c r="D7" s="76">
        <v>4.9000000000000004</v>
      </c>
      <c r="E7" s="76">
        <v>5.3</v>
      </c>
      <c r="F7" s="76">
        <v>4.9000000000000004</v>
      </c>
      <c r="G7" s="76">
        <v>5</v>
      </c>
      <c r="H7" s="76"/>
      <c r="I7" s="77"/>
      <c r="J7" s="78"/>
      <c r="K7" s="79"/>
      <c r="L7" s="78"/>
      <c r="M7" s="80">
        <v>9.9</v>
      </c>
      <c r="N7" s="76">
        <v>10.8</v>
      </c>
      <c r="O7" s="76">
        <v>11.6</v>
      </c>
      <c r="P7" s="76">
        <v>11.5</v>
      </c>
      <c r="Q7" s="76">
        <v>11.1</v>
      </c>
      <c r="R7" s="81"/>
      <c r="S7" s="76"/>
      <c r="T7" s="76"/>
      <c r="U7" s="76"/>
      <c r="V7" s="82"/>
      <c r="W7" s="70">
        <f t="shared" si="0"/>
        <v>80.400000000000006</v>
      </c>
      <c r="X7" s="84" t="s">
        <v>107</v>
      </c>
      <c r="Y7" s="85">
        <f>IF(OR(ISBLANK(Y4),Y2&lt;4),"",'P Calc'!Z6)</f>
        <v>4</v>
      </c>
      <c r="Z7" s="86">
        <f>IF(OR(ISBLANK(Z4),Z2&lt;4),"",'P Calc'!AA6)</f>
        <v>4</v>
      </c>
      <c r="AA7" s="87">
        <f>IF(ISBLANK(Y4),"",'P Calc'!AF4)</f>
        <v>0.41697772657457222</v>
      </c>
      <c r="AB7" s="88">
        <f>IF(OR(ISBLANK(Y4),Y2&lt;4),"",AA7/AA8)</f>
        <v>9.1725441681020001</v>
      </c>
      <c r="AC7" s="73">
        <f>IF(OR(ISBLANK(Y4),Y2&lt;4),"",'P Calc'!Z9)</f>
        <v>1.0534216900714185E-4</v>
      </c>
      <c r="AD7" s="89">
        <f>IF(OR(ISBLANK(Y4),Y2&lt;4),"",FINV(0.05,'P Calc'!Z6,Y9-'P Calc'!Z6-1))</f>
        <v>2.7425941372218592</v>
      </c>
      <c r="AE7" s="90">
        <f>IF(OR(ISBLANK(Z4),Z2&lt;4),"",'P Calc'!AG4)</f>
        <v>1.4745000000002619</v>
      </c>
      <c r="AF7" s="88">
        <f>IF(OR(ISBLANK(Z4),Z2&lt;4),"",AE7/AE8)</f>
        <v>23.680406852263761</v>
      </c>
      <c r="AG7" s="73">
        <f>IF(OR(ISBLANK(Z4),Z2&lt;4),"",'P Calc'!AA9)</f>
        <v>3.4206725069600934E-8</v>
      </c>
      <c r="AH7" s="89">
        <f>IF(OR(ISBLANK(Z4),Z2&lt;4),"",FINV(0.05,'P Calc'!AA6,Z9-'P Calc'!AA6-1))</f>
        <v>2.7587104697176335</v>
      </c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</row>
    <row r="8" spans="1:52" ht="20.100000000000001" customHeight="1" thickTop="1" thickBot="1" x14ac:dyDescent="0.25">
      <c r="A8" s="323"/>
      <c r="B8" s="74" t="s">
        <v>131</v>
      </c>
      <c r="C8" s="75">
        <v>5.3</v>
      </c>
      <c r="D8" s="76">
        <v>5</v>
      </c>
      <c r="E8" s="76">
        <v>5</v>
      </c>
      <c r="F8" s="76">
        <v>5</v>
      </c>
      <c r="G8" s="76">
        <v>4.9000000000000004</v>
      </c>
      <c r="H8" s="76"/>
      <c r="I8" s="77"/>
      <c r="J8" s="78"/>
      <c r="K8" s="79"/>
      <c r="L8" s="78"/>
      <c r="M8" s="80">
        <v>10.5</v>
      </c>
      <c r="N8" s="76">
        <v>10.6</v>
      </c>
      <c r="O8" s="76">
        <v>11.8</v>
      </c>
      <c r="P8" s="76">
        <v>11</v>
      </c>
      <c r="Q8" s="76">
        <v>11.5</v>
      </c>
      <c r="R8" s="81"/>
      <c r="S8" s="76"/>
      <c r="T8" s="76"/>
      <c r="U8" s="76"/>
      <c r="V8" s="82"/>
      <c r="W8" s="70">
        <f t="shared" si="0"/>
        <v>80.600000000000009</v>
      </c>
      <c r="X8" s="91" t="s">
        <v>108</v>
      </c>
      <c r="Y8" s="92">
        <f>IF(OR(ISBLANK(Y4),Y2&lt;4),"",'P Calc'!Z7)</f>
        <v>25.967741935483872</v>
      </c>
      <c r="Z8" s="93">
        <f>IF(OR(ISBLANK(Z4),Z2&lt;4),"",'P Calc'!AA7)</f>
        <v>25</v>
      </c>
      <c r="AA8" s="87">
        <f>IF(OR(ISBLANK(Y4),Y2&lt;4),"",'P Calc'!AF5)</f>
        <v>4.5459331558700362E-2</v>
      </c>
      <c r="AB8" s="88"/>
      <c r="AC8" s="94" t="str">
        <f>AA4</f>
        <v>test 1</v>
      </c>
      <c r="AD8" s="95" t="str">
        <f>AE4</f>
        <v>test 2</v>
      </c>
      <c r="AE8" s="90">
        <f>IF(OR(ISBLANK(Z4),Z2&lt;4),"",'P Calc'!AG5)</f>
        <v>6.226666666663732E-2</v>
      </c>
      <c r="AF8" s="88"/>
      <c r="AG8" s="73"/>
      <c r="AH8" s="89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</row>
    <row r="9" spans="1:52" ht="20.100000000000001" customHeight="1" thickTop="1" thickBot="1" x14ac:dyDescent="0.25">
      <c r="A9" s="323"/>
      <c r="B9" s="74" t="s">
        <v>132</v>
      </c>
      <c r="C9" s="75">
        <v>5.8</v>
      </c>
      <c r="D9" s="76">
        <v>5.0999999999999996</v>
      </c>
      <c r="E9" s="76">
        <v>5</v>
      </c>
      <c r="F9" s="76">
        <v>5.0999999999999996</v>
      </c>
      <c r="G9" s="76">
        <v>4.9000000000000004</v>
      </c>
      <c r="H9" s="76"/>
      <c r="I9" s="77"/>
      <c r="J9" s="78"/>
      <c r="K9" s="79"/>
      <c r="L9" s="78"/>
      <c r="M9" s="80">
        <v>10</v>
      </c>
      <c r="N9" s="76">
        <v>10.7</v>
      </c>
      <c r="O9" s="76">
        <v>11.2</v>
      </c>
      <c r="P9" s="76">
        <v>11.2</v>
      </c>
      <c r="Q9" s="76">
        <v>10.9</v>
      </c>
      <c r="R9" s="81"/>
      <c r="S9" s="76"/>
      <c r="T9" s="76"/>
      <c r="U9" s="76"/>
      <c r="V9" s="82"/>
      <c r="W9" s="70">
        <f t="shared" si="0"/>
        <v>79.900000000000006</v>
      </c>
      <c r="X9" s="84" t="s">
        <v>27</v>
      </c>
      <c r="Y9" s="96">
        <f>IF(OR(ISBLANK(Y4),Y2&lt;4),"",COUNT(C5:L14))</f>
        <v>31</v>
      </c>
      <c r="Z9" s="97">
        <f>IF(OR(ISBLANK(Z4),Z2&lt;4),"",COUNT(M5:V14))</f>
        <v>30</v>
      </c>
      <c r="AA9" s="98"/>
      <c r="AB9" s="99" t="s">
        <v>28</v>
      </c>
      <c r="AC9" s="100">
        <v>5.0999999999999996</v>
      </c>
      <c r="AD9" s="101">
        <v>10.8</v>
      </c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</row>
    <row r="10" spans="1:52" ht="20.100000000000001" customHeight="1" thickTop="1" x14ac:dyDescent="0.2">
      <c r="A10" s="323"/>
      <c r="B10" s="74" t="s">
        <v>133</v>
      </c>
      <c r="C10" s="75">
        <v>6</v>
      </c>
      <c r="D10" s="76">
        <v>5</v>
      </c>
      <c r="E10" s="76">
        <v>4.9000000000000004</v>
      </c>
      <c r="F10" s="76">
        <v>5</v>
      </c>
      <c r="G10" s="76">
        <v>5.5</v>
      </c>
      <c r="H10" s="76"/>
      <c r="I10" s="77"/>
      <c r="J10" s="78"/>
      <c r="K10" s="79"/>
      <c r="L10" s="78"/>
      <c r="M10" s="80">
        <v>10.1</v>
      </c>
      <c r="N10" s="76">
        <v>11</v>
      </c>
      <c r="O10" s="76">
        <v>11</v>
      </c>
      <c r="P10" s="76">
        <v>11.7</v>
      </c>
      <c r="Q10" s="76">
        <v>11.2</v>
      </c>
      <c r="R10" s="81"/>
      <c r="S10" s="76"/>
      <c r="T10" s="76"/>
      <c r="U10" s="76"/>
      <c r="V10" s="82"/>
      <c r="W10" s="70">
        <f t="shared" si="0"/>
        <v>81.400000000000006</v>
      </c>
      <c r="X10" s="84" t="s">
        <v>2</v>
      </c>
      <c r="Y10" s="102">
        <f>IF(OR(ISBLANK(Y4),Y2&lt;4),"",'P Calc'!Z1)</f>
        <v>5.1847619047619045</v>
      </c>
      <c r="Z10" s="103">
        <f>IF(OR(ISBLANK(Z4),Z2&lt;4),"",'P Calc'!AA1)</f>
        <v>10.953333333333335</v>
      </c>
      <c r="AA10" s="47"/>
      <c r="AB10" s="104" t="s">
        <v>103</v>
      </c>
      <c r="AC10" s="105">
        <v>0.2</v>
      </c>
      <c r="AD10" s="106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</row>
    <row r="11" spans="1:52" ht="20.100000000000001" customHeight="1" x14ac:dyDescent="0.2">
      <c r="A11" s="323"/>
      <c r="B11" s="74" t="s">
        <v>134</v>
      </c>
      <c r="C11" s="75"/>
      <c r="D11" s="76"/>
      <c r="E11" s="76"/>
      <c r="F11" s="76">
        <v>5.0999999999999996</v>
      </c>
      <c r="G11" s="76"/>
      <c r="H11" s="76"/>
      <c r="I11" s="77"/>
      <c r="J11" s="78"/>
      <c r="K11" s="79"/>
      <c r="L11" s="78"/>
      <c r="M11" s="80"/>
      <c r="N11" s="76"/>
      <c r="O11" s="76"/>
      <c r="P11" s="76"/>
      <c r="Q11" s="76"/>
      <c r="R11" s="81"/>
      <c r="S11" s="76"/>
      <c r="T11" s="76"/>
      <c r="U11" s="76"/>
      <c r="V11" s="82"/>
      <c r="W11" s="70">
        <f t="shared" si="0"/>
        <v>5.0999999999999996</v>
      </c>
      <c r="X11" s="279" t="s">
        <v>29</v>
      </c>
      <c r="Y11" s="280">
        <f>IF(OR(ISBLANK(Y4),Y2&lt;4),"",'P Calc'!Z2/SQRT(Y9))</f>
        <v>5.5342405300893627E-2</v>
      </c>
      <c r="Z11" s="281">
        <f>IF(OR(ISBLANK(Z4),Z2&lt;4),"",'P Calc'!AA2/SQRT(Z9))</f>
        <v>9.2566637486077699E-2</v>
      </c>
      <c r="AA11" s="47"/>
      <c r="AB11" s="109" t="str">
        <f>IF(OR(ISNUMBER($AC$12),ISNUMBER(AD12)),"Calc SEM:","")</f>
        <v>Calc SEM:</v>
      </c>
      <c r="AC11" s="110">
        <f>IF(ISNUMBER($AC$12),AC12*AC9/100,"")</f>
        <v>4.0800000000000003E-2</v>
      </c>
      <c r="AD11" s="111">
        <f>IF(ISNUMBER($AD$12),AD12*AD9/100,"")</f>
        <v>1.08</v>
      </c>
      <c r="AE11" s="53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</row>
    <row r="12" spans="1:52" ht="20.100000000000001" customHeight="1" thickBot="1" x14ac:dyDescent="0.4">
      <c r="A12" s="323"/>
      <c r="B12" s="74" t="s">
        <v>135</v>
      </c>
      <c r="C12" s="75"/>
      <c r="D12" s="76"/>
      <c r="E12" s="76"/>
      <c r="F12" s="76"/>
      <c r="G12" s="76"/>
      <c r="H12" s="76"/>
      <c r="I12" s="77"/>
      <c r="J12" s="78"/>
      <c r="K12" s="78"/>
      <c r="L12" s="78"/>
      <c r="M12" s="80"/>
      <c r="N12" s="76"/>
      <c r="O12" s="76"/>
      <c r="P12" s="76"/>
      <c r="Q12" s="76"/>
      <c r="R12" s="81"/>
      <c r="S12" s="76"/>
      <c r="T12" s="76"/>
      <c r="U12" s="76"/>
      <c r="V12" s="82"/>
      <c r="W12" s="70">
        <f t="shared" si="0"/>
        <v>0</v>
      </c>
      <c r="X12" s="283" t="s">
        <v>164</v>
      </c>
      <c r="Y12" s="284">
        <f>IF(OR(ISBLANK(Y4),Y2&lt;4),"",AVERAGE(C17:L17))</f>
        <v>5.1847619047619045</v>
      </c>
      <c r="Z12" s="285">
        <f>IF(OR(ISBLANK(Y4),Y2&lt;4),"",AVERAGE(M17:V17))</f>
        <v>10.953333333333335</v>
      </c>
      <c r="AA12" s="47"/>
      <c r="AB12" s="114" t="s">
        <v>104</v>
      </c>
      <c r="AC12" s="115">
        <v>0.8</v>
      </c>
      <c r="AD12" s="116">
        <v>10</v>
      </c>
      <c r="AE12" s="11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</row>
    <row r="13" spans="1:52" ht="20.100000000000001" customHeight="1" thickTop="1" thickBot="1" x14ac:dyDescent="0.25">
      <c r="A13" s="323"/>
      <c r="B13" s="74" t="s">
        <v>136</v>
      </c>
      <c r="C13" s="118"/>
      <c r="D13" s="76"/>
      <c r="E13" s="76"/>
      <c r="F13" s="76"/>
      <c r="G13" s="76"/>
      <c r="H13" s="76"/>
      <c r="I13" s="77"/>
      <c r="J13" s="78"/>
      <c r="K13" s="78"/>
      <c r="L13" s="78"/>
      <c r="M13" s="80"/>
      <c r="N13" s="76"/>
      <c r="O13" s="76"/>
      <c r="P13" s="76"/>
      <c r="Q13" s="76"/>
      <c r="R13" s="81"/>
      <c r="S13" s="76"/>
      <c r="T13" s="76"/>
      <c r="U13" s="76"/>
      <c r="V13" s="82"/>
      <c r="W13" s="70">
        <f t="shared" si="0"/>
        <v>0</v>
      </c>
      <c r="X13" s="282" t="s">
        <v>165</v>
      </c>
      <c r="Y13" s="107">
        <f>IF(OR(ISBLANK(Y4),Y2&lt;4),"",AVERAGE(C16:L16))</f>
        <v>0.20862284913075343</v>
      </c>
      <c r="Z13" s="108">
        <f>IF(OR(ISBLANK(Y4),Y2&lt;4),"",AVERAGE(M16:V16))</f>
        <v>0.24290957609938077</v>
      </c>
      <c r="AA13" s="47"/>
      <c r="AB13" s="84" t="s">
        <v>31</v>
      </c>
      <c r="AC13" s="121">
        <f>IF(OR(ISBLANK(Y4),ISBLANK(AC9),AND(ISBLANK(AC10),ISBLANK(AC12))),"",AC9-Y10)</f>
        <v>-8.4761904761904816E-2</v>
      </c>
      <c r="AD13" s="121">
        <f>IF(OR(ISBLANK(Z4),ISBLANK(AD9),AND(ISBLANK(AD10),ISBLANK(AD12))),"",AD9-Z10)</f>
        <v>-0.15333333333333421</v>
      </c>
      <c r="AE13" s="53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</row>
    <row r="14" spans="1:52" ht="20.100000000000001" customHeight="1" thickTop="1" x14ac:dyDescent="0.35">
      <c r="A14" s="324"/>
      <c r="B14" s="122" t="s">
        <v>137</v>
      </c>
      <c r="C14" s="123"/>
      <c r="D14" s="124"/>
      <c r="E14" s="124"/>
      <c r="F14" s="124"/>
      <c r="G14" s="124"/>
      <c r="H14" s="124"/>
      <c r="I14" s="125"/>
      <c r="J14" s="126"/>
      <c r="K14" s="126"/>
      <c r="L14" s="126"/>
      <c r="M14" s="127"/>
      <c r="N14" s="124"/>
      <c r="O14" s="124"/>
      <c r="P14" s="124"/>
      <c r="Q14" s="124"/>
      <c r="R14" s="128"/>
      <c r="S14" s="124"/>
      <c r="T14" s="124"/>
      <c r="U14" s="124"/>
      <c r="V14" s="129"/>
      <c r="W14" s="70">
        <f t="shared" si="0"/>
        <v>0</v>
      </c>
      <c r="X14" s="84" t="s">
        <v>26</v>
      </c>
      <c r="Y14" s="112">
        <f>IF(OR(ISBLANK(Y4),Y2&lt;4),"",'P Calc'!AF5)</f>
        <v>4.5459331558700362E-2</v>
      </c>
      <c r="Z14" s="113">
        <f>IF(OR(ISBLANK(Z4),Z2&lt;4),"",'P Calc'!AG5)</f>
        <v>6.226666666663732E-2</v>
      </c>
      <c r="AA14" s="47"/>
      <c r="AB14" s="132" t="s">
        <v>106</v>
      </c>
      <c r="AC14" s="133">
        <f>IF(AND(OR(ISBLANK(Y4),ISBLANK(AC10),ISBLANK(AC9),Y2&lt;4),ISBLANK(AC12)),"",'P Calc'!AE7)</f>
        <v>0.20751573873923007</v>
      </c>
      <c r="AD14" s="134">
        <f>IF(AND(OR(ISBLANK(Z4),ISBLANK(AD9),ISBLANK(AD10),Z2&lt;4),ISBLANK(AD12)),"",'P Calc'!AF7)</f>
        <v>1.0839596774675149</v>
      </c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</row>
    <row r="15" spans="1:52" ht="20.100000000000001" customHeight="1" thickBot="1" x14ac:dyDescent="0.25">
      <c r="A15" s="135"/>
      <c r="B15" s="136" t="str">
        <f>IF(ISERROR($B$22),"Invalid data entry! 'Drag-and drop' and 'Cut and paste' are not supported.","")</f>
        <v/>
      </c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8"/>
      <c r="N15" s="137"/>
      <c r="O15" s="137"/>
      <c r="P15" s="137"/>
      <c r="Q15" s="137"/>
      <c r="R15" s="137"/>
      <c r="S15" s="137"/>
      <c r="T15" s="137"/>
      <c r="U15" s="137"/>
      <c r="V15" s="137"/>
      <c r="W15" s="139"/>
      <c r="X15" s="84" t="s">
        <v>30</v>
      </c>
      <c r="Y15" s="119">
        <f>IF(OR(ISBLANK(Y4),Y2&lt;4),"",IF('P Calc'!AF5&gt;'P Calc'!AF4,"0",('P Calc'!AF4-'P Calc'!AF5)/'P Calc'!Z5))</f>
        <v>5.9984740861937648E-2</v>
      </c>
      <c r="Z15" s="120">
        <f>IF(OR(ISBLANK(Z4),Z2&lt;4),"",IF('P Calc'!AG5&gt;'P Calc'!AG4,"0",('P Calc'!AG4-'P Calc'!AG5)/'P Calc'!AA5))</f>
        <v>0.23537222222227075</v>
      </c>
      <c r="AA15" s="47"/>
      <c r="AB15" s="140" t="s">
        <v>34</v>
      </c>
      <c r="AC15" s="141">
        <f>IF(AND(OR(ISBLANK(Y4),ISBLANK(AC10),ISBLANK(AC9)),ISBLANK(AC12)),"",(Y10-AC9)/(Y19))</f>
        <v>0.26102951846507588</v>
      </c>
      <c r="AD15" s="142">
        <f>IF(AND(OR(ISBLANK(Z4),ISBLANK(AD10),ISBLANK(AD9)),ISBLANK(AD12)),"",(Z10-AD9)/(Z19))</f>
        <v>0.28105527427094495</v>
      </c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</row>
    <row r="16" spans="1:52" ht="20.100000000000001" customHeight="1" thickTop="1" x14ac:dyDescent="0.2">
      <c r="A16" s="135"/>
      <c r="B16" s="136" t="str">
        <f>IF(ISNUMBER($B$22),"","Press the 'Undo' button! You may 'Copy', 'Paste' and Delete', only.")</f>
        <v/>
      </c>
      <c r="C16" s="286">
        <f>IF(OR(ISBLANK(C5),C20&lt;2),"",STDEV(C5:C14))</f>
        <v>0.26645825188948452</v>
      </c>
      <c r="D16" s="286">
        <f t="shared" ref="D16:V16" si="1">IF(OR(ISBLANK(D5),D20&lt;2),"",STDEV(D5:D14))</f>
        <v>0.17888543819998326</v>
      </c>
      <c r="E16" s="286">
        <f t="shared" si="1"/>
        <v>0.14719601443879729</v>
      </c>
      <c r="F16" s="286">
        <f t="shared" si="1"/>
        <v>0.22253945610567472</v>
      </c>
      <c r="G16" s="286">
        <f t="shared" si="1"/>
        <v>0.2280350850198275</v>
      </c>
      <c r="H16" s="286" t="str">
        <f t="shared" si="1"/>
        <v/>
      </c>
      <c r="I16" s="286" t="str">
        <f t="shared" si="1"/>
        <v/>
      </c>
      <c r="J16" s="286" t="str">
        <f t="shared" si="1"/>
        <v/>
      </c>
      <c r="K16" s="286" t="str">
        <f t="shared" si="1"/>
        <v/>
      </c>
      <c r="L16" s="286" t="str">
        <f t="shared" si="1"/>
        <v/>
      </c>
      <c r="M16" s="286">
        <f t="shared" si="1"/>
        <v>0.21679483388678802</v>
      </c>
      <c r="N16" s="286">
        <f t="shared" si="1"/>
        <v>0.16329931618554541</v>
      </c>
      <c r="O16" s="286">
        <f t="shared" si="1"/>
        <v>0.33316662497915384</v>
      </c>
      <c r="P16" s="286">
        <f t="shared" si="1"/>
        <v>0.27325202042558921</v>
      </c>
      <c r="Q16" s="286">
        <f t="shared" si="1"/>
        <v>0.22803508501982742</v>
      </c>
      <c r="R16" s="286" t="str">
        <f t="shared" si="1"/>
        <v/>
      </c>
      <c r="S16" s="286" t="str">
        <f t="shared" si="1"/>
        <v/>
      </c>
      <c r="T16" s="286" t="str">
        <f t="shared" si="1"/>
        <v/>
      </c>
      <c r="U16" s="286" t="str">
        <f t="shared" si="1"/>
        <v/>
      </c>
      <c r="V16" s="286" t="str">
        <f t="shared" si="1"/>
        <v/>
      </c>
      <c r="W16" s="139"/>
      <c r="X16" s="130" t="s">
        <v>138</v>
      </c>
      <c r="Y16" s="131">
        <f>IF(OR(ISBLANK(Y4),Y2&lt;4),"",$Y$14+$Y$15)</f>
        <v>0.10544407242063801</v>
      </c>
      <c r="Z16" s="120">
        <f>IF(OR(ISBLANK(Z4),Z2&lt;4),"",$Z$14+$Z$15)</f>
        <v>0.29763888888890805</v>
      </c>
      <c r="AA16" s="53"/>
      <c r="AB16" s="143" t="s">
        <v>105</v>
      </c>
      <c r="AC16" s="144">
        <v>5</v>
      </c>
      <c r="AD16" s="145">
        <v>1</v>
      </c>
      <c r="AE16" s="53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</row>
    <row r="17" spans="1:52" ht="20.100000000000001" customHeight="1" x14ac:dyDescent="0.2">
      <c r="A17" s="146"/>
      <c r="B17" s="147" t="s">
        <v>32</v>
      </c>
      <c r="C17" s="148">
        <f>IF(OR(ISBLANK(C5),C20&lt;2),"",AVERAGE(C5:C14))</f>
        <v>5.6499999999999995</v>
      </c>
      <c r="D17" s="148">
        <f t="shared" ref="D17:S17" si="2">IF(OR(ISBLANK(D5),D20&lt;2),"",AVERAGE(D5:D14))</f>
        <v>5.1000000000000005</v>
      </c>
      <c r="E17" s="148">
        <f t="shared" si="2"/>
        <v>5.0166666666666666</v>
      </c>
      <c r="F17" s="148">
        <f t="shared" si="2"/>
        <v>5.0571428571428578</v>
      </c>
      <c r="G17" s="148">
        <f t="shared" si="2"/>
        <v>5.1000000000000005</v>
      </c>
      <c r="H17" s="148" t="str">
        <f t="shared" si="2"/>
        <v/>
      </c>
      <c r="I17" s="148" t="str">
        <f t="shared" si="2"/>
        <v/>
      </c>
      <c r="J17" s="148" t="str">
        <f>IF(OR(ISBLANK(J5),J20&lt;2),"",AVERAGE(J5:J14))</f>
        <v/>
      </c>
      <c r="K17" s="148" t="str">
        <f>IF(OR(ISBLANK(K5),K20&lt;2),"",AVERAGE(K5:K14))</f>
        <v/>
      </c>
      <c r="L17" s="148" t="str">
        <f>IF(OR(ISBLANK(L5),L20&lt;2),"",AVERAGE(L5:L14))</f>
        <v/>
      </c>
      <c r="M17" s="149">
        <f t="shared" si="2"/>
        <v>10.15</v>
      </c>
      <c r="N17" s="148">
        <f t="shared" si="2"/>
        <v>10.833333333333334</v>
      </c>
      <c r="O17" s="148">
        <f t="shared" si="2"/>
        <v>11.350000000000001</v>
      </c>
      <c r="P17" s="148">
        <f t="shared" si="2"/>
        <v>11.333333333333334</v>
      </c>
      <c r="Q17" s="148">
        <f t="shared" si="2"/>
        <v>11.1</v>
      </c>
      <c r="R17" s="148" t="str">
        <f t="shared" si="2"/>
        <v/>
      </c>
      <c r="S17" s="148" t="str">
        <f t="shared" si="2"/>
        <v/>
      </c>
      <c r="T17" s="148" t="str">
        <f>IF(OR(ISBLANK(T5),T20&lt;2),"",AVERAGE(T5:T14))</f>
        <v/>
      </c>
      <c r="U17" s="148" t="str">
        <f>IF(OR(ISBLANK(U5),U20&lt;2),"",AVERAGE(U5:U14))</f>
        <v/>
      </c>
      <c r="V17" s="148" t="str">
        <f>IF(OR(ISBLANK(V5),V20&lt;2),"",AVERAGE(V5:V14))</f>
        <v/>
      </c>
      <c r="W17" s="150"/>
      <c r="X17" s="84" t="s">
        <v>33</v>
      </c>
      <c r="Y17" s="131">
        <f>IF(OR(ISBLANK(Y4),Y2&lt;4),"",SQRT($Y$14))</f>
        <v>0.21321194046933761</v>
      </c>
      <c r="Z17" s="120">
        <f>IF(OR(ISBLANK(Z4),Z2&lt;4),"",SQRT($Z$14))</f>
        <v>0.24953289696277989</v>
      </c>
      <c r="AA17" s="151"/>
      <c r="AB17" s="152" t="s">
        <v>37</v>
      </c>
      <c r="AC17" s="153">
        <f>IF(AND(OR(ISBLANK(Y4),ISBLANK(AC9),ISBLANK(AC10)),ISBLANK(AC12)),"",Y10+TINV(AC16/100,(Y9-1))*SQRT((Y11^2+AC10^2)))</f>
        <v>5.6085655822380378</v>
      </c>
      <c r="AD17" s="154">
        <f>IF(AND(OR(ISBLANK(Z4),ISBLANK(AD9),ISBLANK(AD10)),ISBLANK(AD12)),"",Z10+TINV(AD16/100,(Z9-1))*SQRT((Z11^2+AD10^2)))</f>
        <v>11.208482708050147</v>
      </c>
      <c r="AE17" s="151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</row>
    <row r="18" spans="1:52" ht="20.100000000000001" customHeight="1" x14ac:dyDescent="0.2">
      <c r="A18" s="146"/>
      <c r="B18" s="155" t="s">
        <v>29</v>
      </c>
      <c r="C18" s="156">
        <f>IF(OR(ISBLANK(C5),C20&lt;2),"",STDEV(C5:C14)/SQRT(C20))</f>
        <v>0.10878112581387146</v>
      </c>
      <c r="D18" s="156">
        <f t="shared" ref="D18:L18" si="3">IF(OR(ISBLANK(D5),D20&lt;2),"",STDEV(D5:D14)/SQRT(D20))</f>
        <v>7.3029674334022188E-2</v>
      </c>
      <c r="E18" s="156">
        <f t="shared" si="3"/>
        <v>6.0092521257733095E-2</v>
      </c>
      <c r="F18" s="156">
        <f t="shared" si="3"/>
        <v>8.4112008250741388E-2</v>
      </c>
      <c r="G18" s="156">
        <f t="shared" si="3"/>
        <v>9.3094933625126247E-2</v>
      </c>
      <c r="H18" s="156" t="str">
        <f t="shared" si="3"/>
        <v/>
      </c>
      <c r="I18" s="156" t="str">
        <f t="shared" si="3"/>
        <v/>
      </c>
      <c r="J18" s="156" t="str">
        <f t="shared" si="3"/>
        <v/>
      </c>
      <c r="K18" s="156" t="str">
        <f t="shared" si="3"/>
        <v/>
      </c>
      <c r="L18" s="156" t="str">
        <f t="shared" si="3"/>
        <v/>
      </c>
      <c r="M18" s="157">
        <f>IF(OR(ISBLANK(M5),M20&lt;2),"",STDEV(M5:M14)/SQRT(M20))</f>
        <v>8.850612031567838E-2</v>
      </c>
      <c r="N18" s="156">
        <f t="shared" ref="N18:V18" si="4">IF(OR(ISBLANK(N5),N20&lt;2),"",STDEV(N5:N14)/SQRT(N20))</f>
        <v>6.6666666666666763E-2</v>
      </c>
      <c r="O18" s="156">
        <f t="shared" si="4"/>
        <v>0.13601470508735453</v>
      </c>
      <c r="P18" s="156">
        <f t="shared" si="4"/>
        <v>0.11155467020454339</v>
      </c>
      <c r="Q18" s="156">
        <f t="shared" si="4"/>
        <v>9.3094933625126206E-2</v>
      </c>
      <c r="R18" s="156" t="str">
        <f t="shared" si="4"/>
        <v/>
      </c>
      <c r="S18" s="156" t="str">
        <f t="shared" si="4"/>
        <v/>
      </c>
      <c r="T18" s="156" t="str">
        <f t="shared" si="4"/>
        <v/>
      </c>
      <c r="U18" s="156" t="str">
        <f t="shared" si="4"/>
        <v/>
      </c>
      <c r="V18" s="156" t="str">
        <f t="shared" si="4"/>
        <v/>
      </c>
      <c r="W18" s="150"/>
      <c r="X18" s="84" t="s">
        <v>35</v>
      </c>
      <c r="Y18" s="119">
        <f>IF(OR(ISBLANK(Y4),Y2&lt;4),"",IF('P Calc'!AF5&gt;'P Calc'!AF4,"0",SQRT($Y$15)))</f>
        <v>0.24491782471257098</v>
      </c>
      <c r="Z18" s="120">
        <f>IF(OR(ISBLANK(Z4),Z2&lt;4),"",IF('P Calc'!AG5&gt;'P Calc'!AG4,"0",SQRT($Z$15)))</f>
        <v>0.48515175174606012</v>
      </c>
      <c r="AA18" s="160"/>
      <c r="AB18" s="152" t="s">
        <v>40</v>
      </c>
      <c r="AC18" s="161">
        <f>IF(AND(OR(ISBLANK(Y4),ISBLANK(AC9),ISBLANK(AC10)),ISBLANK(AC12)),"",Y10-TINV(AC16/100,(Y9-1))*SQRT((Y11^2+AC10^2)))</f>
        <v>4.7609582272857711</v>
      </c>
      <c r="AD18" s="162">
        <f>IF(AND(OR(ISBLANK(Z4),ISBLANK(AD9),ISBLANK(AD10)),ISBLANK(AD12)),"",Z10-TINV(AD16/100,(Z9-1))*SQRT((Z11^2+AD10^2)))</f>
        <v>10.698183958616523</v>
      </c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</row>
    <row r="19" spans="1:52" ht="20.100000000000001" customHeight="1" thickBot="1" x14ac:dyDescent="0.25">
      <c r="A19" s="146"/>
      <c r="B19" s="155" t="s">
        <v>36</v>
      </c>
      <c r="C19" s="163">
        <f t="shared" ref="C19:R19" si="5">IF(ISNUMBER(C18),C18/C17,"")</f>
        <v>1.9253296604225041E-2</v>
      </c>
      <c r="D19" s="163">
        <f t="shared" si="5"/>
        <v>1.4319543987063173E-2</v>
      </c>
      <c r="E19" s="163">
        <f t="shared" si="5"/>
        <v>1.1978575665993307E-2</v>
      </c>
      <c r="F19" s="163">
        <f t="shared" si="5"/>
        <v>1.6632318015683323E-2</v>
      </c>
      <c r="G19" s="163">
        <f t="shared" si="5"/>
        <v>1.8253908553946322E-2</v>
      </c>
      <c r="H19" s="163" t="str">
        <f t="shared" si="5"/>
        <v/>
      </c>
      <c r="I19" s="163" t="str">
        <f t="shared" si="5"/>
        <v/>
      </c>
      <c r="J19" s="163" t="str">
        <f>IF(ISNUMBER(J18),J18/J17,"")</f>
        <v/>
      </c>
      <c r="K19" s="163" t="str">
        <f>IF(ISNUMBER(K18),K18/K17,"")</f>
        <v/>
      </c>
      <c r="L19" s="163" t="str">
        <f>IF(ISNUMBER(L18),L18/L17,"")</f>
        <v/>
      </c>
      <c r="M19" s="164">
        <f t="shared" si="5"/>
        <v>8.7198148094264419E-3</v>
      </c>
      <c r="N19" s="163">
        <f t="shared" si="5"/>
        <v>6.1538461538461625E-3</v>
      </c>
      <c r="O19" s="163">
        <f t="shared" si="5"/>
        <v>1.198367445703564E-2</v>
      </c>
      <c r="P19" s="163">
        <f t="shared" si="5"/>
        <v>9.8430591356950051E-3</v>
      </c>
      <c r="Q19" s="163">
        <f t="shared" si="5"/>
        <v>8.3869309572185777E-3</v>
      </c>
      <c r="R19" s="163" t="str">
        <f t="shared" si="5"/>
        <v/>
      </c>
      <c r="S19" s="163" t="str">
        <f>IF(ISNUMBER(S18),S18/S17,"")</f>
        <v/>
      </c>
      <c r="T19" s="163" t="str">
        <f>IF(ISNUMBER(T18),T18/T17,"")</f>
        <v/>
      </c>
      <c r="U19" s="163" t="str">
        <f>IF(ISNUMBER(U18),U18/U17,"")</f>
        <v/>
      </c>
      <c r="V19" s="163" t="str">
        <f>IF(ISNUMBER(V18),V18/V17,"")</f>
        <v/>
      </c>
      <c r="W19" s="150"/>
      <c r="X19" s="130" t="s">
        <v>139</v>
      </c>
      <c r="Y19" s="131">
        <f>IF(OR(ISBLANK(Y4),Y2&lt;4),"",SQRT($Y$16))</f>
        <v>0.32472153057756736</v>
      </c>
      <c r="Z19" s="120">
        <f>IF(OR(ISBLANK(Z4),Z2&lt;4),"",SQRT($Z$16))</f>
        <v>0.54556291011111457</v>
      </c>
      <c r="AA19" s="160"/>
      <c r="AB19" s="165" t="str">
        <f>X32</f>
        <v>Conclusion:</v>
      </c>
      <c r="AC19" s="166" t="str">
        <f>IF(OR(AND(ISBLANK(AC10),ISBLANK(AC12)),ISBLANK(AC9),ISBLANK(Y4)),"",IF(AND(AC9&lt;AC17,AC9&gt;AC18),"Accept","Reject!"))</f>
        <v>Accept</v>
      </c>
      <c r="AD19" s="167" t="str">
        <f>IF(OR(ISBLANK(Z4),ISBLANK(AD9),AND(ISBLANK(AD10),ISBLANK(AD12))),"",IF(AND(AD9&lt;AD17,AD9&gt;AD18),"Accept","Reject!"))</f>
        <v>Accept</v>
      </c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</row>
    <row r="20" spans="1:52" ht="20.100000000000001" customHeight="1" x14ac:dyDescent="0.2">
      <c r="A20" s="146"/>
      <c r="B20" s="155" t="s">
        <v>38</v>
      </c>
      <c r="C20" s="168">
        <f t="shared" ref="C20:R20" si="6">IF(ISBLANK(C5),"",COUNT(C5:C14))</f>
        <v>6</v>
      </c>
      <c r="D20" s="168">
        <f t="shared" si="6"/>
        <v>6</v>
      </c>
      <c r="E20" s="168">
        <f t="shared" si="6"/>
        <v>6</v>
      </c>
      <c r="F20" s="168">
        <f t="shared" si="6"/>
        <v>7</v>
      </c>
      <c r="G20" s="168">
        <f t="shared" si="6"/>
        <v>6</v>
      </c>
      <c r="H20" s="168" t="str">
        <f t="shared" si="6"/>
        <v/>
      </c>
      <c r="I20" s="168" t="str">
        <f t="shared" si="6"/>
        <v/>
      </c>
      <c r="J20" s="168" t="str">
        <f>IF(ISBLANK(J5),"",COUNT(J5:J14))</f>
        <v/>
      </c>
      <c r="K20" s="168" t="str">
        <f>IF(ISBLANK(K5),"",COUNT(K5:K14))</f>
        <v/>
      </c>
      <c r="L20" s="168" t="str">
        <f>IF(ISBLANK(L5),"",COUNT(L5:L14))</f>
        <v/>
      </c>
      <c r="M20" s="169">
        <f t="shared" si="6"/>
        <v>6</v>
      </c>
      <c r="N20" s="168">
        <f t="shared" si="6"/>
        <v>6</v>
      </c>
      <c r="O20" s="168">
        <f t="shared" si="6"/>
        <v>6</v>
      </c>
      <c r="P20" s="168">
        <f t="shared" si="6"/>
        <v>6</v>
      </c>
      <c r="Q20" s="168">
        <f t="shared" si="6"/>
        <v>6</v>
      </c>
      <c r="R20" s="168" t="str">
        <f t="shared" si="6"/>
        <v/>
      </c>
      <c r="S20" s="168" t="str">
        <f>IF(ISBLANK(S5),"",COUNT(S5:S14))</f>
        <v/>
      </c>
      <c r="T20" s="168" t="str">
        <f>IF(ISBLANK(T5),"",COUNT(T5:T14))</f>
        <v/>
      </c>
      <c r="U20" s="168" t="str">
        <f>IF(ISBLANK(U5),"",COUNT(U5:U14))</f>
        <v/>
      </c>
      <c r="V20" s="168" t="str">
        <f>IF(ISBLANK(V5),"",COUNT(V5:V14))</f>
        <v/>
      </c>
      <c r="W20" s="170"/>
      <c r="X20" s="84" t="s">
        <v>39</v>
      </c>
      <c r="Y20" s="158">
        <f>IF(OR(ISBLANK(Y4),Y2&lt;4),"",100*Y17/Y10)</f>
        <v>4.1122802625423311</v>
      </c>
      <c r="Z20" s="159">
        <f>IF(OR(ISBLANK(Z4),Z2&lt;4),"",100*Z17/Z10)</f>
        <v>2.2781457422043201</v>
      </c>
      <c r="AA20" s="160"/>
      <c r="AB20" s="173"/>
      <c r="AC20" s="151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</row>
    <row r="21" spans="1:52" ht="15.75" customHeight="1" x14ac:dyDescent="0.2">
      <c r="A21" s="146"/>
      <c r="B21" s="173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53"/>
      <c r="T21" s="53"/>
      <c r="U21" s="53"/>
      <c r="V21" s="53"/>
      <c r="W21" s="53"/>
      <c r="X21" s="84" t="s">
        <v>41</v>
      </c>
      <c r="Y21" s="158">
        <f>IF(OR(ISBLANK(Y4),Y2&lt;4),"",100*Y18/Y10)</f>
        <v>4.7238008072777289</v>
      </c>
      <c r="Z21" s="159">
        <f>IF(OR(ISBLANK(Z4),Z2&lt;4),"",100*Z18/Z10)</f>
        <v>4.4292612758313457</v>
      </c>
      <c r="AA21" s="160"/>
      <c r="AB21" s="173"/>
      <c r="AC21" s="160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</row>
    <row r="22" spans="1:52" ht="15" customHeight="1" thickBot="1" x14ac:dyDescent="0.25">
      <c r="A22" s="146"/>
      <c r="B22" s="70">
        <f>SUM(W5:W14)</f>
        <v>489.20000000000005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91" t="s">
        <v>140</v>
      </c>
      <c r="Y22" s="171">
        <f>IF(OR(ISBLANK(Y4),Y2&lt;4),"",100*Y19/Y10)</f>
        <v>6.2629979262756379</v>
      </c>
      <c r="Z22" s="172">
        <f>IF(OR(ISBLANK(Z4),Z2&lt;4),"",100*Z19/Z10)</f>
        <v>4.980793458105123</v>
      </c>
      <c r="AA22" s="176"/>
      <c r="AB22" s="53"/>
      <c r="AC22" s="160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</row>
    <row r="23" spans="1:52" ht="15" customHeight="1" thickTop="1" x14ac:dyDescent="0.2">
      <c r="A23" s="146"/>
      <c r="B23" s="46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174"/>
      <c r="Y23" s="175"/>
      <c r="Z23" s="175"/>
      <c r="AA23" s="176"/>
      <c r="AB23" s="151"/>
      <c r="AC23" s="47"/>
      <c r="AD23" s="178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</row>
    <row r="24" spans="1:52" ht="20.100000000000001" customHeight="1" x14ac:dyDescent="0.2">
      <c r="A24" s="146"/>
      <c r="B24" s="46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173" t="s">
        <v>43</v>
      </c>
      <c r="Y24" s="175"/>
      <c r="Z24" s="175"/>
      <c r="AA24" s="47"/>
      <c r="AB24" s="173" t="s">
        <v>42</v>
      </c>
      <c r="AC24" s="176"/>
      <c r="AD24" s="178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</row>
    <row r="25" spans="1:52" ht="20.100000000000001" customHeight="1" thickBot="1" x14ac:dyDescent="0.25">
      <c r="A25" s="146"/>
      <c r="B25" s="46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173" t="s">
        <v>44</v>
      </c>
      <c r="Y25" s="47"/>
      <c r="Z25" s="177"/>
      <c r="AA25" s="47"/>
      <c r="AB25" s="173" t="s">
        <v>114</v>
      </c>
      <c r="AC25" s="47"/>
      <c r="AD25" s="178"/>
      <c r="AE25" s="47"/>
      <c r="AF25" s="47"/>
      <c r="AG25" s="178"/>
      <c r="AH25" s="178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</row>
    <row r="26" spans="1:52" ht="20.100000000000001" customHeight="1" thickTop="1" x14ac:dyDescent="0.2">
      <c r="A26" s="146"/>
      <c r="B26" s="46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179" t="s">
        <v>45</v>
      </c>
      <c r="Y26" s="180"/>
      <c r="Z26" s="181">
        <v>1</v>
      </c>
      <c r="AA26" s="47"/>
      <c r="AB26" s="47"/>
      <c r="AC26" s="47"/>
      <c r="AD26" s="178"/>
      <c r="AE26" s="47"/>
      <c r="AF26" s="47"/>
      <c r="AG26" s="178"/>
      <c r="AH26" s="178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</row>
    <row r="27" spans="1:52" ht="20.100000000000001" customHeight="1" x14ac:dyDescent="0.2">
      <c r="A27" s="146"/>
      <c r="B27" s="46"/>
      <c r="C27" s="188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182" t="str">
        <f>IF(OR(ISNUMBER(Y28),ISNUMBER(Z28)),"Calc SD","")</f>
        <v>Calc SD</v>
      </c>
      <c r="Y27" s="183">
        <f>IF(ISNUMBER(Y28),Y28*$Y$10,"")</f>
        <v>0.10369523809523809</v>
      </c>
      <c r="Z27" s="184" t="str">
        <f>IF(ISNUMBER(Z28),Z28*$Z$10,"")</f>
        <v/>
      </c>
      <c r="AA27" s="47"/>
      <c r="AB27" s="176"/>
      <c r="AC27" s="47"/>
      <c r="AD27" s="178"/>
      <c r="AE27" s="47"/>
      <c r="AF27" s="178"/>
      <c r="AG27" s="178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</row>
    <row r="28" spans="1:52" ht="20.100000000000001" customHeight="1" x14ac:dyDescent="0.2">
      <c r="A28" s="146"/>
      <c r="B28" s="46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185" t="s">
        <v>46</v>
      </c>
      <c r="Y28" s="186">
        <v>0.02</v>
      </c>
      <c r="Z28" s="187"/>
      <c r="AA28" s="47"/>
      <c r="AB28" s="47"/>
      <c r="AC28" s="178"/>
      <c r="AD28" s="178"/>
      <c r="AE28" s="178"/>
      <c r="AF28" s="178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</row>
    <row r="29" spans="1:52" ht="20.100000000000001" customHeight="1" x14ac:dyDescent="0.2">
      <c r="A29" s="146"/>
      <c r="B29" s="46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185" t="s">
        <v>47</v>
      </c>
      <c r="Y29" s="189">
        <v>5</v>
      </c>
      <c r="Z29" s="190">
        <v>5</v>
      </c>
      <c r="AA29" s="47"/>
      <c r="AB29" s="47"/>
      <c r="AC29" s="178"/>
      <c r="AD29" s="53"/>
      <c r="AE29" s="178"/>
      <c r="AF29" s="178"/>
      <c r="AG29" s="178"/>
      <c r="AH29" s="178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</row>
    <row r="30" spans="1:52" ht="20.100000000000001" customHeight="1" x14ac:dyDescent="0.2">
      <c r="A30" s="146"/>
      <c r="B30" s="46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84" t="s">
        <v>48</v>
      </c>
      <c r="Y30" s="191">
        <f>IF(OR(ISBLANK(Y4),Y2&lt;4),"",'P Calc'!B15)</f>
        <v>0.13175550728172006</v>
      </c>
      <c r="Z30" s="192">
        <f>IF(OR(ISBLANK(Z4),Z2&lt;4),"",'P Calc'!C15)</f>
        <v>1.2750916691795173</v>
      </c>
      <c r="AA30" s="178"/>
      <c r="AB30" s="47"/>
      <c r="AC30" s="47"/>
      <c r="AD30" s="47"/>
      <c r="AE30" s="178"/>
      <c r="AF30" s="178"/>
      <c r="AG30" s="178"/>
      <c r="AH30" s="178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</row>
    <row r="31" spans="1:52" ht="20.100000000000001" customHeight="1" x14ac:dyDescent="0.2">
      <c r="A31" s="146"/>
      <c r="B31" s="46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193" t="s">
        <v>49</v>
      </c>
      <c r="Y31" s="194">
        <v>2</v>
      </c>
      <c r="Z31" s="195">
        <v>2</v>
      </c>
      <c r="AA31" s="178"/>
      <c r="AB31" s="47"/>
      <c r="AC31" s="178"/>
      <c r="AD31" s="47"/>
      <c r="AE31" s="178"/>
      <c r="AF31" s="178"/>
      <c r="AG31" s="53"/>
      <c r="AH31" s="53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</row>
    <row r="32" spans="1:52" ht="20.100000000000001" customHeight="1" thickBot="1" x14ac:dyDescent="0.25">
      <c r="A32" s="45"/>
      <c r="B32" s="46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196" t="s">
        <v>3</v>
      </c>
      <c r="Y32" s="197" t="str">
        <f>IF(AND(OR(ISBLANK(Y4),ISBLANK(Y26)),ISBLANK(Y28)),"",IF(Y17&lt;'P Calc'!$B$15,"Accept","Review!!"))</f>
        <v>Review!!</v>
      </c>
      <c r="Z32" s="197" t="str">
        <f>IF(AND(OR(ISBLANK(Z4),ISBLANK(Z26)),ISBLANK(Z28)),"",IF(Z17&lt;'P Calc'!$C$15,"Accept","Review!!"))</f>
        <v>Accept</v>
      </c>
      <c r="AA32" s="178"/>
      <c r="AB32" s="178"/>
      <c r="AC32" s="178"/>
      <c r="AD32" s="47"/>
      <c r="AE32" s="178"/>
      <c r="AF32" s="178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</row>
    <row r="33" spans="1:52" ht="20.100000000000001" customHeight="1" thickTop="1" x14ac:dyDescent="0.2">
      <c r="A33" s="173"/>
      <c r="B33" s="46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185" t="s">
        <v>141</v>
      </c>
      <c r="Y33" s="198"/>
      <c r="Z33" s="199">
        <v>5</v>
      </c>
      <c r="AA33" s="178"/>
      <c r="AB33" s="47"/>
      <c r="AC33" s="178"/>
      <c r="AD33" s="47"/>
      <c r="AE33" s="178"/>
      <c r="AF33" s="53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</row>
    <row r="34" spans="1:52" ht="20.100000000000001" customHeight="1" x14ac:dyDescent="0.2">
      <c r="A34" s="173"/>
      <c r="B34" s="46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182" t="str">
        <f>IF(OR(ISNUMBER(Y35),ISNUMBER(Z35)),"Calc SD","")</f>
        <v>Calc SD</v>
      </c>
      <c r="Y34" s="183">
        <f>IF(ISNUMBER(Y35),Y35*$Y$10,"")</f>
        <v>0.20739047619047618</v>
      </c>
      <c r="Z34" s="184" t="str">
        <f>IF(ISNUMBER(Z35),Z35*$Z$10,"")</f>
        <v/>
      </c>
      <c r="AA34" s="178"/>
      <c r="AB34" s="178"/>
      <c r="AC34" s="47"/>
      <c r="AD34" s="47"/>
      <c r="AE34" s="53"/>
      <c r="AF34" s="47"/>
      <c r="AG34" s="202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</row>
    <row r="35" spans="1:52" ht="20.100000000000001" customHeight="1" x14ac:dyDescent="0.2">
      <c r="A35" s="173"/>
      <c r="B35" s="46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185" t="s">
        <v>142</v>
      </c>
      <c r="Y35" s="200">
        <v>0.04</v>
      </c>
      <c r="Z35" s="201"/>
      <c r="AA35" s="178"/>
      <c r="AB35" s="178"/>
      <c r="AC35" s="178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</row>
    <row r="36" spans="1:52" ht="20.100000000000001" customHeight="1" x14ac:dyDescent="0.2">
      <c r="A36" s="46"/>
      <c r="B36" s="46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185" t="str">
        <f>X29</f>
        <v>False rejection rate  (%):</v>
      </c>
      <c r="Y36" s="190">
        <v>5</v>
      </c>
      <c r="Z36" s="190">
        <v>5</v>
      </c>
      <c r="AA36" s="53"/>
      <c r="AB36" s="178"/>
      <c r="AC36" s="178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</row>
    <row r="37" spans="1:52" ht="20.100000000000001" customHeight="1" x14ac:dyDescent="0.2">
      <c r="A37" s="46"/>
      <c r="B37" s="46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84" t="str">
        <f>X30</f>
        <v>Verification value:</v>
      </c>
      <c r="Y37" s="203">
        <f>IF(OR(ISBLANK(Y4),Y2&lt;4),"",'P Calc'!B29)</f>
        <v>0.29581061982388041</v>
      </c>
      <c r="Z37" s="204">
        <f>IF(OR(ISBLANK(Z4),Z2&lt;4),"",'P Calc'!C29)</f>
        <v>7.874297944666429</v>
      </c>
      <c r="AA37" s="47"/>
      <c r="AB37" s="178"/>
      <c r="AC37" s="53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</row>
    <row r="38" spans="1:52" ht="20.100000000000001" customHeight="1" x14ac:dyDescent="0.2">
      <c r="A38" s="46"/>
      <c r="B38" s="46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193" t="str">
        <f>X31</f>
        <v>'Level':</v>
      </c>
      <c r="Y38" s="194">
        <v>2</v>
      </c>
      <c r="Z38" s="195">
        <v>2</v>
      </c>
      <c r="AA38" s="47"/>
      <c r="AB38" s="178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</row>
    <row r="39" spans="1:52" ht="20.100000000000001" customHeight="1" thickBot="1" x14ac:dyDescent="0.25">
      <c r="A39" s="46"/>
      <c r="B39" s="46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196" t="str">
        <f>X32</f>
        <v>Conclusion:</v>
      </c>
      <c r="Y39" s="205" t="str">
        <f>IF(AND(OR(ISBLANK(Y4),ISBLANK(Y33)),ISBLANK(Y35)),"",IF(Y19&lt;'P Calc'!B29,"Accept","Review!!"))</f>
        <v>Review!!</v>
      </c>
      <c r="Z39" s="205" t="str">
        <f>IF(AND(OR(ISBLANK(Z4),ISBLANK(Z33)),ISBLANK(Z35)),"",IF(Z19&lt;'P Calc'!C29,"Accept","Review!!"))</f>
        <v>Accept</v>
      </c>
      <c r="AA39" s="47"/>
      <c r="AB39" s="178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</row>
    <row r="40" spans="1:52" ht="20.100000000000001" customHeight="1" thickTop="1" thickBot="1" x14ac:dyDescent="0.25">
      <c r="A40" s="46"/>
      <c r="B40" s="46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53"/>
      <c r="Y40" s="178"/>
      <c r="Z40" s="53"/>
      <c r="AA40" s="47"/>
      <c r="AB40" s="53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</row>
    <row r="41" spans="1:52" ht="24" customHeight="1" thickTop="1" x14ac:dyDescent="0.25">
      <c r="A41" s="46"/>
      <c r="B41" s="46"/>
      <c r="C41" s="47"/>
      <c r="D41" s="210"/>
      <c r="E41" s="211"/>
      <c r="F41" s="212" t="s">
        <v>111</v>
      </c>
      <c r="G41" s="213" t="s">
        <v>101</v>
      </c>
      <c r="H41" s="47"/>
      <c r="I41" s="47"/>
      <c r="J41" s="47"/>
      <c r="K41" s="47"/>
      <c r="L41" s="47"/>
      <c r="M41" s="47"/>
      <c r="N41" s="210"/>
      <c r="O41" s="214"/>
      <c r="P41" s="212" t="str">
        <f>+F41</f>
        <v>Display found means:</v>
      </c>
      <c r="Q41" s="213" t="s">
        <v>101</v>
      </c>
      <c r="R41" s="47"/>
      <c r="S41" s="47"/>
      <c r="T41" s="47"/>
      <c r="U41" s="47"/>
      <c r="V41" s="47"/>
      <c r="W41" s="47"/>
      <c r="X41" s="206" t="s">
        <v>50</v>
      </c>
      <c r="Y41" s="178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</row>
    <row r="42" spans="1:52" ht="16.5" thickBot="1" x14ac:dyDescent="0.3">
      <c r="A42" s="46"/>
      <c r="B42" s="46"/>
      <c r="C42" s="47"/>
      <c r="D42" s="215"/>
      <c r="E42" s="216"/>
      <c r="F42" s="217" t="s">
        <v>51</v>
      </c>
      <c r="G42" s="218" t="s">
        <v>101</v>
      </c>
      <c r="H42" s="47"/>
      <c r="I42" s="47"/>
      <c r="J42" s="47"/>
      <c r="K42" s="47"/>
      <c r="L42" s="47"/>
      <c r="M42" s="47"/>
      <c r="N42" s="215"/>
      <c r="O42" s="219"/>
      <c r="P42" s="217" t="str">
        <f>+F42</f>
        <v>Display target means:</v>
      </c>
      <c r="Q42" s="218" t="s">
        <v>101</v>
      </c>
      <c r="R42" s="47"/>
      <c r="S42" s="47"/>
      <c r="T42" s="47"/>
      <c r="U42" s="47"/>
      <c r="V42" s="47"/>
      <c r="W42" s="47"/>
      <c r="X42" s="207" t="s">
        <v>166</v>
      </c>
      <c r="Y42" s="208"/>
      <c r="Z42" s="209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</row>
    <row r="43" spans="1:52" ht="13.5" thickTop="1" x14ac:dyDescent="0.2">
      <c r="A43" s="46"/>
      <c r="B43" s="46"/>
      <c r="C43" s="173" t="s">
        <v>112</v>
      </c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53"/>
      <c r="Y43" s="178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</row>
    <row r="44" spans="1:52" x14ac:dyDescent="0.2">
      <c r="A44" s="46"/>
      <c r="B44" s="46"/>
      <c r="C44" s="173" t="s">
        <v>113</v>
      </c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208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</row>
    <row r="45" spans="1:52" x14ac:dyDescent="0.2">
      <c r="A45" s="46"/>
      <c r="B45" s="46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209"/>
      <c r="Y45" s="53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</row>
    <row r="46" spans="1:52" x14ac:dyDescent="0.2">
      <c r="A46" s="46"/>
      <c r="B46" s="46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209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</row>
    <row r="47" spans="1:52" x14ac:dyDescent="0.2">
      <c r="A47" s="46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209"/>
      <c r="Y47" s="220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</row>
    <row r="48" spans="1:52" x14ac:dyDescent="0.2">
      <c r="A48" s="46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209"/>
      <c r="Y48" s="46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</row>
    <row r="49" spans="1:52" x14ac:dyDescent="0.2">
      <c r="A49" s="46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209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</row>
    <row r="50" spans="1:52" x14ac:dyDescent="0.2">
      <c r="A50" s="46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209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</row>
    <row r="51" spans="1:52" x14ac:dyDescent="0.2">
      <c r="A51" s="46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209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</row>
    <row r="52" spans="1:52" x14ac:dyDescent="0.2">
      <c r="A52" s="46"/>
      <c r="B52" s="47"/>
      <c r="C52" s="276" t="s">
        <v>155</v>
      </c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209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</row>
    <row r="53" spans="1:52" x14ac:dyDescent="0.2">
      <c r="A53" s="46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209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</row>
    <row r="54" spans="1:52" x14ac:dyDescent="0.2">
      <c r="A54" s="46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</row>
    <row r="55" spans="1:52" x14ac:dyDescent="0.2">
      <c r="A55" s="46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7"/>
    </row>
    <row r="56" spans="1:52" x14ac:dyDescent="0.2">
      <c r="A56" s="46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</row>
    <row r="57" spans="1:52" x14ac:dyDescent="0.2">
      <c r="A57" s="46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</row>
    <row r="58" spans="1:52" x14ac:dyDescent="0.2">
      <c r="A58" s="46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</row>
    <row r="59" spans="1:52" x14ac:dyDescent="0.2">
      <c r="A59" s="46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7"/>
    </row>
    <row r="60" spans="1:52" x14ac:dyDescent="0.2">
      <c r="A60" s="46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7"/>
    </row>
    <row r="61" spans="1:52" x14ac:dyDescent="0.2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209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7"/>
      <c r="AY61" s="47"/>
      <c r="AZ61" s="47"/>
    </row>
    <row r="62" spans="1:52" x14ac:dyDescent="0.2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</row>
    <row r="63" spans="1:52" x14ac:dyDescent="0.2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7"/>
    </row>
    <row r="64" spans="1:52" x14ac:dyDescent="0.2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</row>
    <row r="65" spans="1:52" x14ac:dyDescent="0.2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221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</row>
    <row r="66" spans="1:52" x14ac:dyDescent="0.2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7"/>
    </row>
    <row r="67" spans="1:52" x14ac:dyDescent="0.2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</row>
    <row r="68" spans="1:52" x14ac:dyDescent="0.2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7"/>
    </row>
    <row r="69" spans="1:52" x14ac:dyDescent="0.2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7"/>
    </row>
    <row r="70" spans="1:52" x14ac:dyDescent="0.2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</row>
    <row r="71" spans="1:52" x14ac:dyDescent="0.2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</row>
    <row r="72" spans="1:52" x14ac:dyDescent="0.2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</row>
    <row r="73" spans="1:52" s="222" customFormat="1" x14ac:dyDescent="0.2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47"/>
      <c r="AR73" s="47"/>
      <c r="AS73" s="47"/>
      <c r="AT73" s="47"/>
      <c r="AU73" s="47"/>
      <c r="AV73" s="47"/>
      <c r="AW73" s="47"/>
      <c r="AX73" s="47"/>
      <c r="AY73" s="47"/>
      <c r="AZ73" s="47"/>
    </row>
    <row r="74" spans="1:52" s="222" customFormat="1" x14ac:dyDescent="0.2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  <c r="AR74" s="47"/>
      <c r="AS74" s="47"/>
      <c r="AT74" s="47"/>
      <c r="AU74" s="47"/>
      <c r="AV74" s="47"/>
      <c r="AW74" s="47"/>
      <c r="AX74" s="47"/>
      <c r="AY74" s="47"/>
      <c r="AZ74" s="47"/>
    </row>
    <row r="75" spans="1:52" s="222" customFormat="1" x14ac:dyDescent="0.2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7"/>
    </row>
    <row r="76" spans="1:52" s="222" customFormat="1" x14ac:dyDescent="0.2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</row>
    <row r="77" spans="1:52" s="222" customFormat="1" x14ac:dyDescent="0.2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AZ77" s="47"/>
    </row>
    <row r="78" spans="1:52" s="222" customFormat="1" x14ac:dyDescent="0.2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47"/>
      <c r="AO78" s="47"/>
      <c r="AP78" s="47"/>
      <c r="AQ78" s="47"/>
      <c r="AR78" s="47"/>
      <c r="AS78" s="47"/>
      <c r="AT78" s="47"/>
      <c r="AU78" s="47"/>
      <c r="AV78" s="47"/>
      <c r="AW78" s="47"/>
      <c r="AX78" s="47"/>
      <c r="AY78" s="47"/>
      <c r="AZ78" s="47"/>
    </row>
    <row r="79" spans="1:52" s="222" customFormat="1" x14ac:dyDescent="0.2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47"/>
      <c r="AT79" s="47"/>
      <c r="AU79" s="47"/>
      <c r="AV79" s="47"/>
      <c r="AW79" s="47"/>
      <c r="AX79" s="47"/>
      <c r="AY79" s="47"/>
      <c r="AZ79" s="47"/>
    </row>
    <row r="80" spans="1:52" s="222" customFormat="1" x14ac:dyDescent="0.2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  <c r="AR80" s="47"/>
      <c r="AS80" s="47"/>
      <c r="AT80" s="47"/>
      <c r="AU80" s="47"/>
      <c r="AV80" s="47"/>
      <c r="AW80" s="47"/>
      <c r="AX80" s="47"/>
      <c r="AY80" s="47"/>
      <c r="AZ80" s="47"/>
    </row>
    <row r="81" spans="1:52" s="222" customFormat="1" x14ac:dyDescent="0.2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47"/>
      <c r="AW81" s="47"/>
      <c r="AX81" s="47"/>
      <c r="AY81" s="47"/>
      <c r="AZ81" s="47"/>
    </row>
    <row r="82" spans="1:52" s="222" customFormat="1" x14ac:dyDescent="0.2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47"/>
      <c r="AO82" s="47"/>
      <c r="AP82" s="47"/>
      <c r="AQ82" s="47"/>
      <c r="AR82" s="47"/>
      <c r="AS82" s="47"/>
      <c r="AT82" s="47"/>
      <c r="AU82" s="47"/>
      <c r="AV82" s="47"/>
      <c r="AW82" s="47"/>
      <c r="AX82" s="47"/>
      <c r="AY82" s="47"/>
      <c r="AZ82" s="47"/>
    </row>
    <row r="83" spans="1:52" s="222" customFormat="1" x14ac:dyDescent="0.2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47"/>
      <c r="AO83" s="47"/>
      <c r="AP83" s="47"/>
      <c r="AQ83" s="47"/>
      <c r="AR83" s="47"/>
      <c r="AS83" s="47"/>
      <c r="AT83" s="47"/>
      <c r="AU83" s="47"/>
      <c r="AV83" s="47"/>
      <c r="AW83" s="47"/>
      <c r="AX83" s="47"/>
      <c r="AY83" s="47"/>
      <c r="AZ83" s="47"/>
    </row>
    <row r="84" spans="1:52" x14ac:dyDescent="0.2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  <c r="AY84" s="47"/>
      <c r="AZ84" s="47"/>
    </row>
    <row r="85" spans="1:52" x14ac:dyDescent="0.2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47"/>
      <c r="AO85" s="47"/>
      <c r="AP85" s="47"/>
      <c r="AQ85" s="47"/>
      <c r="AR85" s="47"/>
      <c r="AS85" s="47"/>
      <c r="AT85" s="47"/>
      <c r="AU85" s="47"/>
      <c r="AV85" s="47"/>
      <c r="AW85" s="47"/>
      <c r="AX85" s="47"/>
      <c r="AY85" s="47"/>
      <c r="AZ85" s="47"/>
    </row>
    <row r="86" spans="1:52" x14ac:dyDescent="0.2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47"/>
      <c r="AO86" s="47"/>
      <c r="AP86" s="47"/>
      <c r="AQ86" s="47"/>
      <c r="AR86" s="47"/>
      <c r="AS86" s="47"/>
      <c r="AT86" s="47"/>
      <c r="AU86" s="47"/>
      <c r="AV86" s="47"/>
      <c r="AW86" s="47"/>
      <c r="AX86" s="47"/>
      <c r="AY86" s="47"/>
      <c r="AZ86" s="47"/>
    </row>
    <row r="87" spans="1:52" x14ac:dyDescent="0.2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47"/>
      <c r="AS87" s="47"/>
      <c r="AT87" s="47"/>
      <c r="AU87" s="47"/>
      <c r="AV87" s="47"/>
      <c r="AW87" s="47"/>
      <c r="AX87" s="47"/>
      <c r="AY87" s="47"/>
      <c r="AZ87" s="47"/>
    </row>
    <row r="88" spans="1:52" x14ac:dyDescent="0.2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47"/>
      <c r="AS88" s="47"/>
      <c r="AT88" s="47"/>
      <c r="AU88" s="47"/>
      <c r="AV88" s="47"/>
      <c r="AW88" s="47"/>
      <c r="AX88" s="47"/>
      <c r="AY88" s="47"/>
      <c r="AZ88" s="47"/>
    </row>
    <row r="89" spans="1:52" x14ac:dyDescent="0.2">
      <c r="A89" s="47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AZ89" s="47"/>
    </row>
    <row r="90" spans="1:52" x14ac:dyDescent="0.2">
      <c r="A90" s="47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47"/>
      <c r="AO90" s="47"/>
      <c r="AP90" s="47"/>
      <c r="AQ90" s="47"/>
      <c r="AR90" s="47"/>
      <c r="AS90" s="47"/>
      <c r="AT90" s="47"/>
      <c r="AU90" s="47"/>
      <c r="AV90" s="47"/>
      <c r="AW90" s="47"/>
      <c r="AX90" s="47"/>
      <c r="AY90" s="47"/>
      <c r="AZ90" s="47"/>
    </row>
    <row r="91" spans="1:52" x14ac:dyDescent="0.2">
      <c r="A91" s="47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47"/>
      <c r="AO91" s="47"/>
      <c r="AP91" s="47"/>
      <c r="AQ91" s="47"/>
      <c r="AR91" s="47"/>
      <c r="AS91" s="47"/>
      <c r="AT91" s="47"/>
      <c r="AU91" s="47"/>
      <c r="AV91" s="47"/>
      <c r="AW91" s="47"/>
      <c r="AX91" s="47"/>
      <c r="AY91" s="47"/>
      <c r="AZ91" s="47"/>
    </row>
    <row r="92" spans="1:52" x14ac:dyDescent="0.2">
      <c r="A92" s="47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47"/>
      <c r="AO92" s="47"/>
      <c r="AP92" s="47"/>
      <c r="AQ92" s="47"/>
      <c r="AR92" s="47"/>
      <c r="AS92" s="47"/>
      <c r="AT92" s="47"/>
      <c r="AU92" s="47"/>
      <c r="AV92" s="47"/>
      <c r="AW92" s="47"/>
      <c r="AX92" s="47"/>
      <c r="AY92" s="47"/>
      <c r="AZ92" s="47"/>
    </row>
    <row r="93" spans="1:52" x14ac:dyDescent="0.2">
      <c r="A93" s="47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47"/>
      <c r="AK93" s="47"/>
      <c r="AL93" s="47"/>
      <c r="AM93" s="47"/>
      <c r="AN93" s="47"/>
      <c r="AO93" s="47"/>
      <c r="AP93" s="47"/>
      <c r="AQ93" s="47"/>
      <c r="AR93" s="47"/>
      <c r="AS93" s="47"/>
      <c r="AT93" s="47"/>
      <c r="AU93" s="47"/>
      <c r="AV93" s="47"/>
      <c r="AW93" s="47"/>
      <c r="AX93" s="47"/>
      <c r="AY93" s="47"/>
      <c r="AZ93" s="47"/>
    </row>
    <row r="94" spans="1:52" x14ac:dyDescent="0.2">
      <c r="A94" s="47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47"/>
      <c r="AH94" s="47"/>
      <c r="AI94" s="47"/>
      <c r="AJ94" s="47"/>
      <c r="AK94" s="47"/>
      <c r="AL94" s="47"/>
      <c r="AM94" s="47"/>
      <c r="AN94" s="47"/>
      <c r="AO94" s="47"/>
      <c r="AP94" s="47"/>
      <c r="AQ94" s="47"/>
      <c r="AR94" s="47"/>
      <c r="AS94" s="47"/>
      <c r="AT94" s="47"/>
      <c r="AU94" s="47"/>
      <c r="AV94" s="47"/>
      <c r="AW94" s="47"/>
      <c r="AX94" s="47"/>
      <c r="AY94" s="47"/>
      <c r="AZ94" s="47"/>
    </row>
    <row r="95" spans="1:52" x14ac:dyDescent="0.2">
      <c r="A95" s="47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  <c r="AN95" s="47"/>
      <c r="AO95" s="47"/>
      <c r="AP95" s="47"/>
      <c r="AQ95" s="47"/>
      <c r="AR95" s="47"/>
      <c r="AS95" s="47"/>
      <c r="AT95" s="47"/>
      <c r="AU95" s="47"/>
      <c r="AV95" s="47"/>
      <c r="AW95" s="47"/>
      <c r="AX95" s="47"/>
      <c r="AY95" s="47"/>
      <c r="AZ95" s="47"/>
    </row>
    <row r="96" spans="1:52" x14ac:dyDescent="0.2">
      <c r="A96" s="47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47"/>
      <c r="AJ96" s="47"/>
      <c r="AK96" s="47"/>
      <c r="AL96" s="47"/>
      <c r="AM96" s="47"/>
      <c r="AN96" s="47"/>
      <c r="AO96" s="47"/>
      <c r="AP96" s="47"/>
      <c r="AQ96" s="47"/>
      <c r="AR96" s="47"/>
      <c r="AS96" s="47"/>
      <c r="AT96" s="47"/>
      <c r="AU96" s="47"/>
      <c r="AV96" s="47"/>
      <c r="AW96" s="47"/>
      <c r="AX96" s="47"/>
      <c r="AY96" s="47"/>
      <c r="AZ96" s="47"/>
    </row>
    <row r="97" spans="1:52" x14ac:dyDescent="0.2">
      <c r="A97" s="47"/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47"/>
      <c r="AP97" s="47"/>
      <c r="AQ97" s="47"/>
      <c r="AR97" s="47"/>
      <c r="AS97" s="47"/>
      <c r="AT97" s="47"/>
      <c r="AU97" s="47"/>
      <c r="AV97" s="47"/>
      <c r="AW97" s="47"/>
      <c r="AX97" s="47"/>
      <c r="AY97" s="47"/>
      <c r="AZ97" s="47"/>
    </row>
    <row r="98" spans="1:52" x14ac:dyDescent="0.2">
      <c r="A98" s="47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E98" s="47"/>
      <c r="AF98" s="47"/>
      <c r="AG98" s="47"/>
      <c r="AH98" s="47"/>
      <c r="AI98" s="47"/>
      <c r="AJ98" s="47"/>
      <c r="AK98" s="47"/>
      <c r="AL98" s="47"/>
      <c r="AM98" s="47"/>
      <c r="AN98" s="47"/>
      <c r="AO98" s="47"/>
      <c r="AP98" s="47"/>
      <c r="AQ98" s="47"/>
      <c r="AR98" s="47"/>
      <c r="AS98" s="47"/>
      <c r="AT98" s="47"/>
      <c r="AU98" s="47"/>
      <c r="AV98" s="47"/>
      <c r="AW98" s="47"/>
      <c r="AX98" s="47"/>
      <c r="AY98" s="47"/>
      <c r="AZ98" s="47"/>
    </row>
    <row r="99" spans="1:52" x14ac:dyDescent="0.2">
      <c r="A99" s="47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E99" s="47"/>
      <c r="AF99" s="47"/>
      <c r="AG99" s="47"/>
      <c r="AH99" s="47"/>
      <c r="AI99" s="47"/>
      <c r="AJ99" s="47"/>
      <c r="AK99" s="47"/>
      <c r="AL99" s="47"/>
      <c r="AM99" s="47"/>
      <c r="AN99" s="47"/>
      <c r="AO99" s="47"/>
      <c r="AP99" s="47"/>
      <c r="AQ99" s="47"/>
      <c r="AR99" s="47"/>
      <c r="AS99" s="47"/>
      <c r="AT99" s="47"/>
      <c r="AU99" s="47"/>
      <c r="AV99" s="47"/>
      <c r="AW99" s="47"/>
      <c r="AX99" s="47"/>
      <c r="AY99" s="47"/>
      <c r="AZ99" s="47"/>
    </row>
    <row r="100" spans="1:52" x14ac:dyDescent="0.2">
      <c r="A100" s="47"/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E100" s="47"/>
      <c r="AF100" s="47"/>
      <c r="AG100" s="47"/>
      <c r="AH100" s="47"/>
      <c r="AI100" s="47"/>
      <c r="AJ100" s="47"/>
      <c r="AK100" s="47"/>
      <c r="AL100" s="47"/>
      <c r="AM100" s="47"/>
      <c r="AN100" s="47"/>
      <c r="AO100" s="47"/>
      <c r="AP100" s="47"/>
      <c r="AQ100" s="47"/>
      <c r="AR100" s="47"/>
      <c r="AS100" s="47"/>
      <c r="AT100" s="47"/>
      <c r="AU100" s="47"/>
      <c r="AV100" s="47"/>
      <c r="AW100" s="47"/>
      <c r="AX100" s="47"/>
      <c r="AY100" s="47"/>
      <c r="AZ100" s="47"/>
    </row>
    <row r="101" spans="1:52" x14ac:dyDescent="0.2">
      <c r="A101" s="47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E101" s="47"/>
      <c r="AF101" s="47"/>
      <c r="AG101" s="47"/>
      <c r="AH101" s="47"/>
      <c r="AI101" s="47"/>
      <c r="AJ101" s="47"/>
      <c r="AK101" s="47"/>
      <c r="AL101" s="47"/>
      <c r="AM101" s="47"/>
      <c r="AN101" s="47"/>
      <c r="AO101" s="47"/>
      <c r="AP101" s="47"/>
      <c r="AQ101" s="47"/>
      <c r="AR101" s="47"/>
      <c r="AS101" s="47"/>
      <c r="AT101" s="47"/>
      <c r="AU101" s="47"/>
      <c r="AV101" s="47"/>
      <c r="AW101" s="47"/>
      <c r="AX101" s="47"/>
      <c r="AY101" s="47"/>
      <c r="AZ101" s="47"/>
    </row>
    <row r="102" spans="1:52" x14ac:dyDescent="0.2">
      <c r="A102" s="47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E102" s="47"/>
      <c r="AF102" s="47"/>
      <c r="AG102" s="47"/>
      <c r="AH102" s="47"/>
      <c r="AI102" s="47"/>
      <c r="AJ102" s="47"/>
      <c r="AK102" s="47"/>
      <c r="AL102" s="47"/>
      <c r="AM102" s="47"/>
      <c r="AN102" s="47"/>
      <c r="AO102" s="47"/>
      <c r="AP102" s="47"/>
      <c r="AQ102" s="47"/>
      <c r="AR102" s="47"/>
      <c r="AS102" s="47"/>
      <c r="AT102" s="47"/>
      <c r="AU102" s="47"/>
      <c r="AV102" s="47"/>
      <c r="AW102" s="47"/>
      <c r="AX102" s="47"/>
      <c r="AY102" s="47"/>
      <c r="AZ102" s="47"/>
    </row>
    <row r="103" spans="1:52" x14ac:dyDescent="0.2">
      <c r="A103" s="47"/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</row>
    <row r="104" spans="1:52" x14ac:dyDescent="0.2">
      <c r="A104" s="47"/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</row>
  </sheetData>
  <sheetProtection password="DD51" sheet="1" scenarios="1" formatCells="0"/>
  <mergeCells count="9">
    <mergeCell ref="AE4:AH4"/>
    <mergeCell ref="A5:A14"/>
    <mergeCell ref="X6:Z6"/>
    <mergeCell ref="C1:V1"/>
    <mergeCell ref="C2:L2"/>
    <mergeCell ref="M2:V2"/>
    <mergeCell ref="Y4:Y5"/>
    <mergeCell ref="Z4:Z5"/>
    <mergeCell ref="AA4:AD4"/>
  </mergeCells>
  <phoneticPr fontId="0" type="noConversion"/>
  <conditionalFormatting sqref="Y32:Z32 Y39:Z39">
    <cfRule type="cellIs" dxfId="3" priority="4" stopIfTrue="1" operator="equal">
      <formula>"Review!!"</formula>
    </cfRule>
  </conditionalFormatting>
  <conditionalFormatting sqref="AC19:AD19">
    <cfRule type="cellIs" dxfId="2" priority="2" stopIfTrue="1" operator="equal">
      <formula>"Accept"</formula>
    </cfRule>
    <cfRule type="cellIs" dxfId="1" priority="3" stopIfTrue="1" operator="equal">
      <formula>"Reject!"</formula>
    </cfRule>
  </conditionalFormatting>
  <conditionalFormatting sqref="AD19">
    <cfRule type="cellIs" dxfId="0" priority="1" stopIfTrue="1" operator="equal">
      <formula>"Accept"</formula>
    </cfRule>
  </conditionalFormatting>
  <printOptions horizontalCentered="1"/>
  <pageMargins left="0.57999999999999996" right="0.45" top="0.98425196850393704" bottom="0.98425196850393704" header="0.51181102362204722" footer="0.51181102362204722"/>
  <pageSetup paperSize="9" scale="53" orientation="landscape" r:id="rId1"/>
  <headerFooter alignWithMargins="0">
    <oddFooter>&amp;R&amp;F &amp;D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I61"/>
  <sheetViews>
    <sheetView workbookViewId="0">
      <pane xSplit="1" topLeftCell="X1" activePane="topRight" state="frozenSplit"/>
      <selection activeCell="X17" sqref="X17"/>
      <selection pane="topRight" activeCell="F4" sqref="F4"/>
    </sheetView>
  </sheetViews>
  <sheetFormatPr defaultColWidth="9.140625" defaultRowHeight="12.75" x14ac:dyDescent="0.2"/>
  <cols>
    <col min="1" max="1" width="33.28515625" style="232" bestFit="1" customWidth="1"/>
    <col min="2" max="6" width="9.28515625" style="232" bestFit="1" customWidth="1"/>
    <col min="7" max="7" width="10.5703125" style="232" bestFit="1" customWidth="1"/>
    <col min="8" max="8" width="9.28515625" style="232" bestFit="1" customWidth="1"/>
    <col min="9" max="11" width="9.28515625" style="232" customWidth="1"/>
    <col min="12" max="14" width="9.28515625" style="232" bestFit="1" customWidth="1"/>
    <col min="15" max="15" width="11.28515625" style="232" customWidth="1"/>
    <col min="16" max="16" width="11.28515625" style="232" bestFit="1" customWidth="1"/>
    <col min="17" max="18" width="9.28515625" style="232" bestFit="1" customWidth="1"/>
    <col min="19" max="21" width="9.28515625" style="232" customWidth="1"/>
    <col min="22" max="25" width="10" style="232" customWidth="1"/>
    <col min="26" max="27" width="12.42578125" style="232" bestFit="1" customWidth="1"/>
    <col min="28" max="28" width="9.140625" style="232"/>
    <col min="29" max="29" width="11.5703125" style="232" bestFit="1" customWidth="1"/>
    <col min="30" max="16384" width="9.140625" style="232"/>
  </cols>
  <sheetData>
    <row r="1" spans="1:33" x14ac:dyDescent="0.2">
      <c r="A1" s="223"/>
      <c r="B1" s="224" t="s">
        <v>5</v>
      </c>
      <c r="C1" s="225" t="s">
        <v>6</v>
      </c>
      <c r="D1" s="225" t="s">
        <v>7</v>
      </c>
      <c r="E1" s="225" t="s">
        <v>8</v>
      </c>
      <c r="F1" s="225" t="s">
        <v>9</v>
      </c>
      <c r="G1" s="225" t="s">
        <v>10</v>
      </c>
      <c r="H1" s="225" t="s">
        <v>11</v>
      </c>
      <c r="I1" s="225" t="s">
        <v>143</v>
      </c>
      <c r="J1" s="225" t="s">
        <v>144</v>
      </c>
      <c r="K1" s="225" t="s">
        <v>145</v>
      </c>
      <c r="L1" s="226" t="s">
        <v>52</v>
      </c>
      <c r="M1" s="225" t="s">
        <v>53</v>
      </c>
      <c r="N1" s="225" t="s">
        <v>54</v>
      </c>
      <c r="O1" s="225" t="s">
        <v>55</v>
      </c>
      <c r="P1" s="225" t="s">
        <v>56</v>
      </c>
      <c r="Q1" s="225" t="s">
        <v>57</v>
      </c>
      <c r="R1" s="227" t="s">
        <v>58</v>
      </c>
      <c r="S1" s="227" t="s">
        <v>146</v>
      </c>
      <c r="T1" s="227" t="s">
        <v>147</v>
      </c>
      <c r="U1" s="228" t="s">
        <v>148</v>
      </c>
      <c r="V1" s="229"/>
      <c r="W1" s="223"/>
      <c r="X1" s="223"/>
      <c r="Y1" s="230" t="s">
        <v>59</v>
      </c>
      <c r="Z1" s="231">
        <f>AVERAGE(B3:K3)</f>
        <v>5.1847619047619045</v>
      </c>
      <c r="AA1" s="231">
        <f>AVERAGE(L3:U3)</f>
        <v>10.953333333333335</v>
      </c>
      <c r="AB1" s="223"/>
    </row>
    <row r="2" spans="1:33" x14ac:dyDescent="0.2">
      <c r="A2" s="223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33"/>
      <c r="M2" s="223"/>
      <c r="N2" s="223"/>
      <c r="O2" s="223"/>
      <c r="P2" s="223"/>
      <c r="Q2" s="223"/>
      <c r="R2" s="223"/>
      <c r="S2" s="223"/>
      <c r="T2" s="223"/>
      <c r="U2" s="223"/>
      <c r="V2" s="229"/>
      <c r="W2" s="223"/>
      <c r="X2" s="223"/>
      <c r="Y2" s="230" t="s">
        <v>60</v>
      </c>
      <c r="Z2" s="231">
        <f>STDEV('Precision and trueness'!C5:L14)</f>
        <v>0.30813347198761082</v>
      </c>
      <c r="AA2" s="231">
        <f>STDEV('Precision and trueness'!M5:V14)</f>
        <v>0.50700835423528057</v>
      </c>
      <c r="AB2" s="223"/>
    </row>
    <row r="3" spans="1:33" x14ac:dyDescent="0.2">
      <c r="A3" s="223" t="s">
        <v>61</v>
      </c>
      <c r="B3" s="230">
        <f>'Precision and trueness'!C17</f>
        <v>5.6499999999999995</v>
      </c>
      <c r="C3" s="230">
        <f>'Precision and trueness'!D17</f>
        <v>5.1000000000000005</v>
      </c>
      <c r="D3" s="230">
        <f>'Precision and trueness'!E17</f>
        <v>5.0166666666666666</v>
      </c>
      <c r="E3" s="230">
        <f>'Precision and trueness'!F17</f>
        <v>5.0571428571428578</v>
      </c>
      <c r="F3" s="230">
        <f>'Precision and trueness'!G17</f>
        <v>5.1000000000000005</v>
      </c>
      <c r="G3" s="230" t="str">
        <f>'Precision and trueness'!H17</f>
        <v/>
      </c>
      <c r="H3" s="230" t="str">
        <f>'Precision and trueness'!I17</f>
        <v/>
      </c>
      <c r="I3" s="230" t="str">
        <f>'Precision and trueness'!J17</f>
        <v/>
      </c>
      <c r="J3" s="230" t="str">
        <f>'Precision and trueness'!K17</f>
        <v/>
      </c>
      <c r="K3" s="230" t="str">
        <f>'Precision and trueness'!L17</f>
        <v/>
      </c>
      <c r="L3" s="234">
        <f>'Precision and trueness'!M17</f>
        <v>10.15</v>
      </c>
      <c r="M3" s="230">
        <f>'Precision and trueness'!N17</f>
        <v>10.833333333333334</v>
      </c>
      <c r="N3" s="230">
        <f>'Precision and trueness'!O17</f>
        <v>11.350000000000001</v>
      </c>
      <c r="O3" s="230">
        <f>'Precision and trueness'!P17</f>
        <v>11.333333333333334</v>
      </c>
      <c r="P3" s="230">
        <f>'Precision and trueness'!Q17</f>
        <v>11.1</v>
      </c>
      <c r="Q3" s="230" t="str">
        <f>'Precision and trueness'!R17</f>
        <v/>
      </c>
      <c r="R3" s="230" t="str">
        <f>'Precision and trueness'!S17</f>
        <v/>
      </c>
      <c r="S3" s="230" t="str">
        <f>'Precision and trueness'!T17</f>
        <v/>
      </c>
      <c r="T3" s="230" t="str">
        <f>'Precision and trueness'!U17</f>
        <v/>
      </c>
      <c r="U3" s="235" t="str">
        <f>'Precision and trueness'!V17</f>
        <v/>
      </c>
      <c r="V3" s="223"/>
      <c r="W3" s="223"/>
      <c r="X3" s="223"/>
      <c r="Y3" s="236" t="s">
        <v>0</v>
      </c>
      <c r="Z3" s="237">
        <f>SUM(B7:K7)</f>
        <v>31</v>
      </c>
      <c r="AA3" s="237">
        <f>SUM(L7:U7)</f>
        <v>30</v>
      </c>
      <c r="AB3" s="223"/>
    </row>
    <row r="4" spans="1:33" ht="15.75" x14ac:dyDescent="0.3">
      <c r="A4" s="223" t="s">
        <v>62</v>
      </c>
      <c r="B4" s="230">
        <f>IF(COUNT('Precision and trueness'!C5:C14)=0,"",STDEV('Precision and trueness'!C5:C14)^2)</f>
        <v>7.099999999999998E-2</v>
      </c>
      <c r="C4" s="230">
        <f>IF(COUNT('Precision and trueness'!D5:D14)=0,"",STDEV('Precision and trueness'!D5:D14)^2)</f>
        <v>3.2000000000000028E-2</v>
      </c>
      <c r="D4" s="230">
        <f>IF(COUNT('Precision and trueness'!E5:E14)=0,"",STDEV('Precision and trueness'!E5:E14)^2)</f>
        <v>2.1666666666666619E-2</v>
      </c>
      <c r="E4" s="230">
        <f>IF(COUNT('Precision and trueness'!F5:F14)=0,"",STDEV('Precision and trueness'!F5:F14)^2)</f>
        <v>4.9523809523809526E-2</v>
      </c>
      <c r="F4" s="230">
        <f>IF(COUNT('Precision and trueness'!G5:G14)=0,"",STDEV('Precision and trueness'!G5:G14)^2)</f>
        <v>5.1999999999999956E-2</v>
      </c>
      <c r="G4" s="230" t="str">
        <f>IF(COUNT('Precision and trueness'!H5:H14)=0,"",STDEV('Precision and trueness'!H5:H14)^2)</f>
        <v/>
      </c>
      <c r="H4" s="230" t="str">
        <f>IF(COUNT('Precision and trueness'!I5:I14)=0,"",STDEV('Precision and trueness'!I5:I14)^2)</f>
        <v/>
      </c>
      <c r="I4" s="230" t="str">
        <f>IF(COUNT('Precision and trueness'!J5:J14)=0,"",STDEV('Precision and trueness'!J5:J14)^2)</f>
        <v/>
      </c>
      <c r="J4" s="230" t="str">
        <f>IF(COUNT('Precision and trueness'!K5:K14)=0,"",STDEV('Precision and trueness'!K5:K14)^2)</f>
        <v/>
      </c>
      <c r="K4" s="230" t="str">
        <f>IF(COUNT('Precision and trueness'!L5:L14)=0,"",STDEV('Precision and trueness'!L5:L14)^2)</f>
        <v/>
      </c>
      <c r="L4" s="234">
        <f>IF(COUNT('Precision and trueness'!M5:M14)=0,"",STDEV('Precision and trueness'!M5:M14)^2)</f>
        <v>4.7000000000000014E-2</v>
      </c>
      <c r="M4" s="230">
        <f>IF(COUNT('Precision and trueness'!N5:N14)=0,"",STDEV('Precision and trueness'!N5:N14)^2)</f>
        <v>2.6666666666666734E-2</v>
      </c>
      <c r="N4" s="230">
        <f>IF(COUNT('Precision and trueness'!O5:O14)=0,"",STDEV('Precision and trueness'!O5:O14)^2)</f>
        <v>0.11100000000000013</v>
      </c>
      <c r="O4" s="230">
        <f>IF(COUNT('Precision and trueness'!P5:P14)=0,"",STDEV('Precision and trueness'!P5:P14)^2)</f>
        <v>7.4666666666666631E-2</v>
      </c>
      <c r="P4" s="230">
        <f>IF(COUNT('Precision and trueness'!Q5:Q14)=0,"",STDEV('Precision and trueness'!Q5:Q14)^2)</f>
        <v>5.1999999999999921E-2</v>
      </c>
      <c r="Q4" s="230" t="str">
        <f>IF(COUNT('Precision and trueness'!R5:R14)=0,"",STDEV('Precision and trueness'!R5:R14)^2)</f>
        <v/>
      </c>
      <c r="R4" s="230" t="str">
        <f>IF(COUNT('Precision and trueness'!S5:S14)=0,"",STDEV('Precision and trueness'!S5:S14)^2)</f>
        <v/>
      </c>
      <c r="S4" s="230" t="str">
        <f>IF(COUNT('Precision and trueness'!T5:T14)=0,"",STDEV('Precision and trueness'!T5:T14)^2)</f>
        <v/>
      </c>
      <c r="T4" s="230" t="str">
        <f>IF(COUNT('Precision and trueness'!U5:U14)=0,"",STDEV('Precision and trueness'!U5:U14)^2)</f>
        <v/>
      </c>
      <c r="U4" s="235" t="str">
        <f>IF(COUNT('Precision and trueness'!V5:V14)=0,"",STDEV('Precision and trueness'!V5:V14)^2)</f>
        <v/>
      </c>
      <c r="V4" s="230">
        <f>IF(COUNT('Precision and trueness'!W5:W14)=0,"",AVERAGE('Precision and trueness'!W5:W14))</f>
        <v>48.92</v>
      </c>
      <c r="W4" s="230"/>
      <c r="X4" s="230"/>
      <c r="Y4" s="236" t="s">
        <v>63</v>
      </c>
      <c r="Z4" s="223">
        <f>COUNT('Precision and trueness'!C20:L20)</f>
        <v>5</v>
      </c>
      <c r="AA4" s="223">
        <f>COUNT('Precision and trueness'!M20:V20)</f>
        <v>5</v>
      </c>
      <c r="AB4" s="238" t="s">
        <v>149</v>
      </c>
      <c r="AC4" s="239">
        <f>SUM(B5:K5)-SUM('Precision and trueness'!C5:I14)^2/COUNT('Precision and trueness'!C5:I14)</f>
        <v>1.6679109062982889</v>
      </c>
      <c r="AD4" s="223">
        <f>SUM(L5:U5)-SUM('Precision and trueness'!M5:S14)^2/COUNT('Precision and trueness'!M5:S14)</f>
        <v>5.8980000000010477</v>
      </c>
      <c r="AE4" s="238" t="s">
        <v>150</v>
      </c>
      <c r="AF4" s="240">
        <f>AC4/(Z4-1)</f>
        <v>0.41697772657457222</v>
      </c>
      <c r="AG4" s="240">
        <f>AD4/(AA4-1)</f>
        <v>1.4745000000002619</v>
      </c>
    </row>
    <row r="5" spans="1:33" ht="15.75" x14ac:dyDescent="0.3">
      <c r="A5" s="241" t="s">
        <v>64</v>
      </c>
      <c r="B5" s="223">
        <f>IF(COUNT('Precision and trueness'!C5:C14)=0," ",SUM('Precision and trueness'!C5:C14)^2/B7)</f>
        <v>191.53499999999997</v>
      </c>
      <c r="C5" s="223">
        <f>IF(COUNT('Precision and trueness'!D5:D14)=0," ",SUM('Precision and trueness'!D5:D14)^2/C7)</f>
        <v>156.06000000000003</v>
      </c>
      <c r="D5" s="223">
        <f>IF(COUNT('Precision and trueness'!E5:E14)=0," ",SUM('Precision and trueness'!E5:E14)^2/D7)</f>
        <v>151.00166666666669</v>
      </c>
      <c r="E5" s="223">
        <f>IF(COUNT('Precision and trueness'!F5:F14)=0," ",SUM('Precision and trueness'!F5:F14)^2/E7)</f>
        <v>179.02285714285719</v>
      </c>
      <c r="F5" s="223">
        <f>IF(COUNT('Precision and trueness'!G5:G14)=0," ",SUM('Precision and trueness'!G5:G14)^2/F7)</f>
        <v>156.06000000000003</v>
      </c>
      <c r="G5" s="223" t="str">
        <f>IF(COUNT('Precision and trueness'!H5:H14)=0," ",SUM('Precision and trueness'!H5:H14)^2/G7)</f>
        <v xml:space="preserve"> </v>
      </c>
      <c r="H5" s="223" t="str">
        <f>IF(COUNT('Precision and trueness'!I5:I14)=0," ",SUM('Precision and trueness'!I5:I14)^2/H7)</f>
        <v xml:space="preserve"> </v>
      </c>
      <c r="I5" s="223" t="str">
        <f>IF(COUNT('Precision and trueness'!J5:J14)=0," ",SUM('Precision and trueness'!J5:J14)^2/I7)</f>
        <v xml:space="preserve"> </v>
      </c>
      <c r="J5" s="223" t="str">
        <f>IF(COUNT('Precision and trueness'!K5:K14)=0," ",SUM('Precision and trueness'!K5:K14)^2/J7)</f>
        <v xml:space="preserve"> </v>
      </c>
      <c r="K5" s="223" t="str">
        <f>IF(COUNT('Precision and trueness'!L5:L14)=0," ",SUM('Precision and trueness'!L5:L14)^2/K7)</f>
        <v xml:space="preserve"> </v>
      </c>
      <c r="L5" s="242">
        <f>IF(COUNT('Precision and trueness'!M5:M14)=0," ",SUM('Precision and trueness'!M5:M14)^2/L7)</f>
        <v>618.13499999999999</v>
      </c>
      <c r="M5" s="223">
        <f>IF(COUNT('Precision and trueness'!N5:N14)=0," ",SUM('Precision and trueness'!N5:N14)^2/M7)</f>
        <v>704.16666666666663</v>
      </c>
      <c r="N5" s="223">
        <f>IF(COUNT('Precision and trueness'!O5:O14)=0," ",SUM('Precision and trueness'!O5:O14)^2/N7)</f>
        <v>772.93500000000029</v>
      </c>
      <c r="O5" s="223">
        <f>IF(COUNT('Precision and trueness'!P5:P14)=0," ",SUM('Precision and trueness'!P5:P14)^2/O7)</f>
        <v>770.66666666666663</v>
      </c>
      <c r="P5" s="223">
        <f>IF(COUNT('Precision and trueness'!Q5:Q14)=0," ",SUM('Precision and trueness'!Q5:Q14)^2/P7)</f>
        <v>739.25999999999988</v>
      </c>
      <c r="Q5" s="223" t="str">
        <f>IF(COUNT('Precision and trueness'!R5:R14)=0," ",SUM('Precision and trueness'!R5:R14)^2/Q7)</f>
        <v xml:space="preserve"> </v>
      </c>
      <c r="R5" s="223" t="str">
        <f>IF(COUNT('Precision and trueness'!S5:S14)=0," ",SUM('Precision and trueness'!S5:S14)^2/R7)</f>
        <v xml:space="preserve"> </v>
      </c>
      <c r="S5" s="223" t="str">
        <f>IF(COUNT('Precision and trueness'!T5:T14)=0," ",SUM('Precision and trueness'!T5:T14)^2/S7)</f>
        <v xml:space="preserve"> </v>
      </c>
      <c r="T5" s="223" t="str">
        <f>IF(COUNT('Precision and trueness'!U5:U14)=0," ",SUM('Precision and trueness'!U5:U14)^2/T7)</f>
        <v xml:space="preserve"> </v>
      </c>
      <c r="U5" s="243" t="str">
        <f>IF(COUNT('Precision and trueness'!V5:V14)=0," ",SUM('Precision and trueness'!V5:V14)^2/U7)</f>
        <v xml:space="preserve"> </v>
      </c>
      <c r="V5" s="230">
        <f>IF(COUNT('Precision and trueness'!W5:W14)=0,"",STDEV('Precision and trueness'!W5:W14))</f>
        <v>41.035155659507382</v>
      </c>
      <c r="W5" s="230"/>
      <c r="X5" s="230"/>
      <c r="Y5" s="244" t="s">
        <v>65</v>
      </c>
      <c r="Z5" s="245">
        <f>(Z3-SUMSQ(B7:K7)/Z3)/(Z4-1)</f>
        <v>6.193548387096774</v>
      </c>
      <c r="AA5" s="245">
        <f>(AA3-SUMSQ(L7:U7)/AA3)/(AA4-1)</f>
        <v>6</v>
      </c>
      <c r="AB5" s="238" t="s">
        <v>151</v>
      </c>
      <c r="AC5" s="232">
        <f>AC6-AC4</f>
        <v>1.1804761904759289</v>
      </c>
      <c r="AD5" s="230">
        <f>AD6-AD4</f>
        <v>1.556666666665933</v>
      </c>
      <c r="AE5" s="238" t="s">
        <v>152</v>
      </c>
      <c r="AF5" s="246">
        <f>IF(COUNT(B4:K4)=0,"",AC5/Z7)</f>
        <v>4.5459331558700362E-2</v>
      </c>
      <c r="AG5" s="246">
        <f>IF(COUNT(L4:U4)=0,"",AD5/AA7)</f>
        <v>6.226666666663732E-2</v>
      </c>
    </row>
    <row r="6" spans="1:33" x14ac:dyDescent="0.2">
      <c r="A6" s="223"/>
      <c r="B6" s="236"/>
      <c r="C6" s="239"/>
      <c r="D6" s="239"/>
      <c r="E6" s="239"/>
      <c r="F6" s="239"/>
      <c r="G6" s="239"/>
      <c r="H6" s="239"/>
      <c r="I6" s="239"/>
      <c r="J6" s="239"/>
      <c r="K6" s="239"/>
      <c r="L6" s="247"/>
      <c r="M6" s="239"/>
      <c r="N6" s="239"/>
      <c r="O6" s="239"/>
      <c r="P6" s="223"/>
      <c r="Q6" s="223"/>
      <c r="R6" s="223"/>
      <c r="S6" s="223"/>
      <c r="T6" s="223"/>
      <c r="U6" s="243"/>
      <c r="V6" s="230">
        <f>IF(COUNT('Precision and trueness'!W5:W14)=0,"",V5^2)</f>
        <v>1683.8840000000007</v>
      </c>
      <c r="X6" s="230"/>
      <c r="Y6" s="236" t="s">
        <v>66</v>
      </c>
      <c r="Z6" s="248">
        <f>Z4-1</f>
        <v>4</v>
      </c>
      <c r="AA6" s="248">
        <f>AA4-1</f>
        <v>4</v>
      </c>
      <c r="AB6" s="232" t="s">
        <v>67</v>
      </c>
      <c r="AC6" s="232">
        <f>SUMSQ('Precision and trueness'!C5:I14)-SUM('Precision and trueness'!C5:I14)^2/COUNT('Precision and trueness'!C5:I14)</f>
        <v>2.8483870967742178</v>
      </c>
      <c r="AD6" s="232">
        <f>SUMSQ('Precision and trueness'!M5:S14)-SUM('Precision and trueness'!M5:S14)^2/COUNT('Precision and trueness'!M5:S14)</f>
        <v>7.4546666666669807</v>
      </c>
      <c r="AG6" s="231"/>
    </row>
    <row r="7" spans="1:33" x14ac:dyDescent="0.2">
      <c r="A7" s="223" t="s">
        <v>68</v>
      </c>
      <c r="B7" s="249">
        <f>'Precision and trueness'!C20</f>
        <v>6</v>
      </c>
      <c r="C7" s="249">
        <f>'Precision and trueness'!D20</f>
        <v>6</v>
      </c>
      <c r="D7" s="249">
        <f>'Precision and trueness'!E20</f>
        <v>6</v>
      </c>
      <c r="E7" s="249">
        <f>'Precision and trueness'!F20</f>
        <v>7</v>
      </c>
      <c r="F7" s="249">
        <f>'Precision and trueness'!G20</f>
        <v>6</v>
      </c>
      <c r="G7" s="249" t="str">
        <f>'Precision and trueness'!H20</f>
        <v/>
      </c>
      <c r="H7" s="249" t="str">
        <f>'Precision and trueness'!I20</f>
        <v/>
      </c>
      <c r="I7" s="249" t="str">
        <f>'Precision and trueness'!J20</f>
        <v/>
      </c>
      <c r="J7" s="249" t="str">
        <f>'Precision and trueness'!K20</f>
        <v/>
      </c>
      <c r="K7" s="249" t="str">
        <f>'Precision and trueness'!L20</f>
        <v/>
      </c>
      <c r="L7" s="249">
        <f>'Precision and trueness'!M20</f>
        <v>6</v>
      </c>
      <c r="M7" s="249">
        <f>'Precision and trueness'!N20</f>
        <v>6</v>
      </c>
      <c r="N7" s="249">
        <f>'Precision and trueness'!O20</f>
        <v>6</v>
      </c>
      <c r="O7" s="249">
        <f>'Precision and trueness'!P20</f>
        <v>6</v>
      </c>
      <c r="P7" s="249">
        <f>'Precision and trueness'!Q20</f>
        <v>6</v>
      </c>
      <c r="Q7" s="249" t="str">
        <f>'Precision and trueness'!R20</f>
        <v/>
      </c>
      <c r="R7" s="249" t="str">
        <f>'Precision and trueness'!S20</f>
        <v/>
      </c>
      <c r="S7" s="249" t="str">
        <f>'Precision and trueness'!T20</f>
        <v/>
      </c>
      <c r="T7" s="249" t="str">
        <f>'Precision and trueness'!U20</f>
        <v/>
      </c>
      <c r="U7" s="250" t="str">
        <f>'Precision and trueness'!V20</f>
        <v/>
      </c>
      <c r="V7" s="223"/>
      <c r="W7" s="223"/>
      <c r="X7" s="230"/>
      <c r="Y7" s="236" t="s">
        <v>69</v>
      </c>
      <c r="Z7" s="251">
        <f>Z4*(Z5-1)</f>
        <v>25.967741935483872</v>
      </c>
      <c r="AA7" s="251">
        <f>AA4*(AA5-1)</f>
        <v>25</v>
      </c>
      <c r="AB7" s="239"/>
      <c r="AE7" s="47">
        <f>IF(ISBLANK('Precision and trueness'!AC10),SQRT(('Precision and trueness'!AC12*'Precision and trueness'!AC9/100)^2+'Precision and trueness'!Y11^2),SQRT('Precision and trueness'!AC10^2+'Precision and trueness'!Y11^2))</f>
        <v>0.20751573873923007</v>
      </c>
      <c r="AF7" s="47">
        <f>IF(ISBLANK('Precision and trueness'!AD10),SQRT(('Precision and trueness'!AD12*'Precision and trueness'!AD9/100)^2+'Precision and trueness'!Z11^2),SQRT('Precision and trueness'!AD10^2+'Precision and trueness'!Z11^2))</f>
        <v>1.0839596774675149</v>
      </c>
    </row>
    <row r="8" spans="1:33" x14ac:dyDescent="0.2">
      <c r="A8" s="232" t="s">
        <v>70</v>
      </c>
      <c r="B8" s="232">
        <f>IF(ISBLANK('Precision and trueness'!C5),0,(B3-$Z$1)^2)</f>
        <v>0.21644648526077076</v>
      </c>
      <c r="C8" s="232">
        <f>IF(ISBLANK('Precision and trueness'!D5),0,(C3-$Z$1)^2)</f>
        <v>7.184580498866072E-3</v>
      </c>
      <c r="D8" s="232">
        <f>IF(ISBLANK('Precision and trueness'!E5),0,(D3-$Z$1)^2)</f>
        <v>2.8256009070294703E-2</v>
      </c>
      <c r="E8" s="232">
        <f>IF(ISBLANK('Precision and trueness'!F5),0,(E3-$Z$1)^2)</f>
        <v>1.6286621315192491E-2</v>
      </c>
      <c r="F8" s="232">
        <f>IF(ISBLANK('Precision and trueness'!G5),0,(F3-$Z$1)^2)</f>
        <v>7.184580498866072E-3</v>
      </c>
      <c r="G8" s="232">
        <f>IF(ISBLANK('Precision and trueness'!H5),0,(G3-$Z$1)^2)</f>
        <v>0</v>
      </c>
      <c r="H8" s="232">
        <f>IF(ISBLANK('Precision and trueness'!I5),0,(H3-$Z$1)^2)</f>
        <v>0</v>
      </c>
      <c r="I8" s="232">
        <f>IF(ISBLANK('Precision and trueness'!J5),0,(I3-$Z$1)^2)</f>
        <v>0</v>
      </c>
      <c r="J8" s="232">
        <f>IF(ISBLANK('Precision and trueness'!K5),0,(J3-$Z$1)^2)</f>
        <v>0</v>
      </c>
      <c r="K8" s="232">
        <f>IF(ISBLANK('Precision and trueness'!L5),0,(K3-$Z$1)^2)</f>
        <v>0</v>
      </c>
      <c r="L8" s="252">
        <f>IF(ISBLANK('Precision and trueness'!M5),0,(L3-$Z$1)^2)</f>
        <v>24.653589342403635</v>
      </c>
      <c r="M8" s="232">
        <f>IF(ISBLANK('Precision and trueness'!N5),0,(M3-$Z$1)^2)</f>
        <v>31.90635918367348</v>
      </c>
      <c r="N8" s="232">
        <f>IF(ISBLANK('Precision and trueness'!O5),0,(N3-$Z$1)^2)</f>
        <v>38.010160770975077</v>
      </c>
      <c r="O8" s="232">
        <f>IF(ISBLANK('Precision and trueness'!P5),0,(O3-$Z$1)^2)</f>
        <v>37.80493061224491</v>
      </c>
      <c r="P8" s="232">
        <f>IF(ISBLANK('Precision and trueness'!Q5),0,(P3-$Z$1)^2)</f>
        <v>34.990041723356008</v>
      </c>
      <c r="Q8" s="232">
        <f>IF(ISBLANK('Precision and trueness'!R5),0,(Q3-$Z$1)^2)</f>
        <v>0</v>
      </c>
      <c r="R8" s="232">
        <f>IF(ISBLANK('Precision and trueness'!S5),0,(R3-$Z$1)^2)</f>
        <v>0</v>
      </c>
      <c r="S8" s="232">
        <f>IF(ISBLANK('Precision and trueness'!T5),0,(S3-$Z$1)^2)</f>
        <v>0</v>
      </c>
      <c r="T8" s="232">
        <f>IF(ISBLANK('Precision and trueness'!U5),0,(T3-$Z$1)^2)</f>
        <v>0</v>
      </c>
      <c r="U8" s="253">
        <f>IF(ISBLANK('Precision and trueness'!V5),0,(U3-$Z$1)^2)</f>
        <v>0</v>
      </c>
      <c r="V8" s="223"/>
      <c r="X8" s="230"/>
      <c r="Y8" s="223" t="s">
        <v>67</v>
      </c>
      <c r="Z8" s="254">
        <f>COUNT('Precision and trueness'!C5:L14)-1</f>
        <v>30</v>
      </c>
      <c r="AA8" s="254">
        <f>COUNT('Precision and trueness'!D5:M14)-1</f>
        <v>30</v>
      </c>
      <c r="AB8" s="239"/>
    </row>
    <row r="9" spans="1:33" x14ac:dyDescent="0.2">
      <c r="V9" s="223"/>
      <c r="W9" s="255"/>
      <c r="X9" s="255"/>
      <c r="Y9" s="223" t="s">
        <v>71</v>
      </c>
      <c r="Z9" s="223">
        <f>FDIST('Precision and trueness'!AB7,Z6,Z7)</f>
        <v>1.0534216900714185E-4</v>
      </c>
      <c r="AA9" s="223">
        <f>FDIST('Precision and trueness'!AF7,AA6,AA7)</f>
        <v>3.4206725069600934E-8</v>
      </c>
      <c r="AB9" s="223"/>
      <c r="AD9" s="239"/>
      <c r="AE9" s="238"/>
    </row>
    <row r="10" spans="1:33" x14ac:dyDescent="0.2">
      <c r="V10" s="256"/>
      <c r="Y10" s="223" t="s">
        <v>72</v>
      </c>
      <c r="Z10" s="223">
        <f>FINV(0.05,Z6,Z7)</f>
        <v>2.7587104697176335</v>
      </c>
      <c r="AA10" s="223">
        <f>FINV(0.05,AA6,AA7)</f>
        <v>2.7587104697176335</v>
      </c>
      <c r="AC10" s="257"/>
      <c r="AD10" s="239"/>
    </row>
    <row r="11" spans="1:33" x14ac:dyDescent="0.2">
      <c r="A11" s="258" t="s">
        <v>73</v>
      </c>
      <c r="B11" s="227" t="s">
        <v>74</v>
      </c>
      <c r="C11" s="227" t="s">
        <v>75</v>
      </c>
      <c r="E11" s="227" t="s">
        <v>74</v>
      </c>
      <c r="F11" s="259"/>
      <c r="G11" s="227" t="s">
        <v>75</v>
      </c>
      <c r="L11" s="258" t="s">
        <v>76</v>
      </c>
      <c r="V11" s="236"/>
      <c r="Y11" s="230"/>
      <c r="Z11" s="230"/>
      <c r="AA11" s="230"/>
      <c r="AC11" s="223"/>
    </row>
    <row r="12" spans="1:33" x14ac:dyDescent="0.2">
      <c r="A12" s="260" t="s">
        <v>77</v>
      </c>
      <c r="B12" s="261">
        <f>'Precision and trueness'!Y28</f>
        <v>0.02</v>
      </c>
      <c r="C12" s="261">
        <f>'Precision and trueness'!Z28</f>
        <v>0</v>
      </c>
      <c r="F12" s="229"/>
      <c r="L12" s="232" t="s">
        <v>78</v>
      </c>
      <c r="N12" s="232" t="s">
        <v>79</v>
      </c>
      <c r="O12" s="232" t="s">
        <v>80</v>
      </c>
      <c r="P12" s="232" t="s">
        <v>81</v>
      </c>
      <c r="Q12" s="232" t="s">
        <v>82</v>
      </c>
      <c r="W12" s="262"/>
      <c r="X12" s="223"/>
      <c r="Y12" s="223"/>
      <c r="Z12" s="223"/>
    </row>
    <row r="13" spans="1:33" x14ac:dyDescent="0.2">
      <c r="A13" s="260" t="s">
        <v>83</v>
      </c>
      <c r="B13" s="232">
        <f>IF(ISBLANK('Precision and trueness'!Y26),'Precision and trueness'!Y27,'Precision and trueness'!Y26)</f>
        <v>0.10369523809523809</v>
      </c>
      <c r="C13" s="232">
        <f>IF(ISBLANK('Precision and trueness'!Z26),'Precision and trueness'!Z27,'Precision and trueness'!Z26)</f>
        <v>1</v>
      </c>
      <c r="H13" s="232" t="b">
        <f>ISNUMBER('Precision and trueness'!C20)</f>
        <v>1</v>
      </c>
      <c r="L13" s="232">
        <f>IF(ISNUMBER('Precision and trueness'!$C$20),M13,NA())</f>
        <v>1</v>
      </c>
      <c r="M13" s="232">
        <v>1</v>
      </c>
      <c r="N13" s="232">
        <f>IF(OR(ISBLANK('Precision and trueness'!$G$42),COUNT('Precision and trueness'!$C$20:$L$20)&lt;'P Calc'!$M13),NA(),'P Calc'!$M13)</f>
        <v>1</v>
      </c>
      <c r="O13" s="232">
        <f>IF(OR(ISBLANK('Precision and trueness'!$AC$9),COUNT('Precision and trueness'!$C$20:$L$20)&lt;'P Calc'!$M13),"",'Precision and trueness'!$AC$9)</f>
        <v>5.0999999999999996</v>
      </c>
      <c r="P13" s="232">
        <f>IF(AND(ISNUMBER('Precision and trueness'!$AC$9),(OR(ISNUMBER('Precision and trueness'!$AC$10),ISNUMBER('Precision and trueness'!$AC$12)))),$O$13+2*$R$13,"")</f>
        <v>5.5</v>
      </c>
      <c r="Q13" s="232">
        <f>IF(AND(ISNUMBER('Precision and trueness'!$AC$9),(OR(ISNUMBER('Precision and trueness'!$AC$10),ISNUMBER('Precision and trueness'!$AC$12)))),O13-2*$R$13,"")</f>
        <v>4.6999999999999993</v>
      </c>
      <c r="R13" s="232">
        <f>IF(AND(ISBLANK('Precision and trueness'!AC10),ISBLANK('Precision and trueness'!AC12)),"",IF(AND(ISBLANK('Precision and trueness'!AC10),ISNUMBER('Precision and trueness'!AC12)),'Precision and trueness'!AC11,'Precision and trueness'!AC10))</f>
        <v>0.2</v>
      </c>
      <c r="W13" s="262"/>
      <c r="X13" s="223"/>
      <c r="AC13" s="261"/>
    </row>
    <row r="14" spans="1:33" x14ac:dyDescent="0.2">
      <c r="A14" s="260" t="s">
        <v>47</v>
      </c>
      <c r="B14" s="232">
        <f>'Precision and trueness'!Y29/100</f>
        <v>0.05</v>
      </c>
      <c r="C14" s="232">
        <f>'Precision and trueness'!Z29/100</f>
        <v>0.05</v>
      </c>
      <c r="L14" s="232">
        <f>IF(ISNUMBER('Precision and trueness'!$D$20),M14,NA())</f>
        <v>2</v>
      </c>
      <c r="M14" s="232">
        <v>2</v>
      </c>
      <c r="N14" s="232">
        <f>IF(OR(ISBLANK('Precision and trueness'!$G$42),COUNT('Precision and trueness'!$C$20:$L$20)&lt;'P Calc'!$M14),NA(),'P Calc'!$M14)</f>
        <v>2</v>
      </c>
      <c r="O14" s="232">
        <f>IF(OR(ISBLANK('Precision and trueness'!$AC$9),COUNT('Precision and trueness'!$C$20:$L$20)&lt;'P Calc'!$M14),"",'Precision and trueness'!$AC$9)</f>
        <v>5.0999999999999996</v>
      </c>
      <c r="P14" s="232">
        <f>IF(AND(ISNUMBER('Precision and trueness'!$AC$9),(OR(ISNUMBER('Precision and trueness'!$AC$10),ISNUMBER('Precision and trueness'!$AC$12)))),$O$13+2*$R$13,"")</f>
        <v>5.5</v>
      </c>
      <c r="Q14" s="232">
        <f>IF(AND(ISNUMBER('Precision and trueness'!$AC$9),(OR(ISNUMBER('Precision and trueness'!$AC$10),ISNUMBER('Precision and trueness'!$AC$12)))),O14-2*$R$13,"")</f>
        <v>4.6999999999999993</v>
      </c>
      <c r="R14" s="232">
        <f>IF(AND(ISBLANK('Precision and trueness'!AD10),ISBLANK('Precision and trueness'!AD12)),"",IF(AND(ISBLANK('Precision and trueness'!AD10),ISNUMBER('Precision and trueness'!AD12)),'Precision and trueness'!AD11,'Precision and trueness'!AD10))</f>
        <v>1.08</v>
      </c>
      <c r="W14" s="262"/>
      <c r="X14" s="229"/>
      <c r="AB14" s="263"/>
      <c r="AC14" s="263"/>
      <c r="AD14" s="263"/>
      <c r="AE14" s="263"/>
    </row>
    <row r="15" spans="1:33" x14ac:dyDescent="0.2">
      <c r="A15" s="264" t="s">
        <v>48</v>
      </c>
      <c r="B15" s="232">
        <f>IF(OR(AND(ISBLANK('Precision and trueness'!Y26),ISBLANK('Precision and trueness'!Y28)),ISBLANK('Precision and trueness'!Y4)),"",B13*SQRT(E17/'Precision and trueness'!Y8))</f>
        <v>0.13175550728172006</v>
      </c>
      <c r="C15" s="232">
        <f>IF(OR(AND(ISBLANK('Precision and trueness'!Z26),ISBLANK('Precision and trueness'!Z28)),ISBLANK('Precision and trueness'!Z4)),"",C13*SQRT(G17/'Precision and trueness'!Z8))</f>
        <v>1.2750916691795173</v>
      </c>
      <c r="L15" s="232">
        <f>IF(ISNUMBER('Precision and trueness'!$E$20),M15,NA())</f>
        <v>3</v>
      </c>
      <c r="M15" s="232">
        <v>3</v>
      </c>
      <c r="N15" s="232">
        <f>IF(OR(ISBLANK('Precision and trueness'!$G$42),COUNT('Precision and trueness'!$C$20:$L$20)&lt;'P Calc'!$M15),NA(),'P Calc'!$M15)</f>
        <v>3</v>
      </c>
      <c r="O15" s="232">
        <f>IF(OR(ISBLANK('Precision and trueness'!$AC$9),COUNT('Precision and trueness'!$C$20:$L$20)&lt;'P Calc'!$M15),"",'Precision and trueness'!$AC$9)</f>
        <v>5.0999999999999996</v>
      </c>
      <c r="P15" s="232">
        <f>IF(AND(ISNUMBER('Precision and trueness'!$AC$9),(OR(ISNUMBER('Precision and trueness'!$AC$10),ISNUMBER('Precision and trueness'!$AC$12)))),$O$13+2*$R$13,"")</f>
        <v>5.5</v>
      </c>
      <c r="Q15" s="232">
        <f>IF(AND(ISNUMBER('Precision and trueness'!$AC$9),(OR(ISNUMBER('Precision and trueness'!$AC$10),ISNUMBER('Precision and trueness'!$AC$12)))),O15-2*$R$13,"")</f>
        <v>4.6999999999999993</v>
      </c>
      <c r="AB15" s="262"/>
      <c r="AC15" s="261"/>
      <c r="AG15" s="263"/>
    </row>
    <row r="16" spans="1:33" x14ac:dyDescent="0.2">
      <c r="A16" s="265" t="s">
        <v>84</v>
      </c>
      <c r="B16" s="232">
        <f>'Precision and trueness'!Y31</f>
        <v>2</v>
      </c>
      <c r="C16" s="232">
        <f>'Precision and trueness'!Z31</f>
        <v>2</v>
      </c>
      <c r="L16" s="232">
        <f>IF(ISNUMBER('Precision and trueness'!$F$20),M16,NA())</f>
        <v>4</v>
      </c>
      <c r="M16" s="232">
        <v>4</v>
      </c>
      <c r="N16" s="232">
        <f>IF(OR(ISBLANK('Precision and trueness'!$G$42),COUNT('Precision and trueness'!$C$20:$L$20)&lt;'P Calc'!$M16),NA(),'P Calc'!$M16)</f>
        <v>4</v>
      </c>
      <c r="O16" s="232">
        <f>IF(OR(ISBLANK('Precision and trueness'!$AC$9),COUNT('Precision and trueness'!$C$20:$L$20)&lt;'P Calc'!$M16),"",'Precision and trueness'!$AC$9)</f>
        <v>5.0999999999999996</v>
      </c>
      <c r="P16" s="232">
        <f>IF(AND(ISNUMBER('Precision and trueness'!$AC$9),(OR(ISNUMBER('Precision and trueness'!$AC$10),ISNUMBER('Precision and trueness'!$AC$12)))),$O$13+2*$R$13,"")</f>
        <v>5.5</v>
      </c>
      <c r="Q16" s="232">
        <f>IF(AND(ISNUMBER('Precision and trueness'!$AC$9),(OR(ISNUMBER('Precision and trueness'!$AC$10),ISNUMBER('Precision and trueness'!$AC$12)))),O16-2*$R$13,"")</f>
        <v>4.6999999999999993</v>
      </c>
      <c r="W16" s="232" t="s">
        <v>85</v>
      </c>
      <c r="X16" s="232" t="s">
        <v>86</v>
      </c>
      <c r="Y16" s="232" t="s">
        <v>87</v>
      </c>
      <c r="Z16" s="232" t="s">
        <v>88</v>
      </c>
      <c r="AB16" s="262"/>
      <c r="AE16" s="266"/>
      <c r="AG16" s="263"/>
    </row>
    <row r="17" spans="1:35" ht="14.25" customHeight="1" x14ac:dyDescent="0.2">
      <c r="A17" s="264" t="s">
        <v>89</v>
      </c>
      <c r="B17" s="232">
        <f>IF(ISBLANK(B16),"",1-B14/(B16))</f>
        <v>0.97499999999999998</v>
      </c>
      <c r="C17" s="232">
        <f>IF(ISBLANK(C16),"",1-C14/(C16))</f>
        <v>0.97499999999999998</v>
      </c>
      <c r="D17" s="238" t="s">
        <v>89</v>
      </c>
      <c r="E17" s="232">
        <f>CHIINV(1-B17,ROUND('Precision and trueness'!Y8,0))</f>
        <v>41.923170096353907</v>
      </c>
      <c r="F17" s="238" t="s">
        <v>89</v>
      </c>
      <c r="G17" s="232">
        <f>CHIINV(1-C17,ROUND('Precision and trueness'!Z8,0))</f>
        <v>40.646469120275192</v>
      </c>
      <c r="L17" s="232">
        <f>IF(ISNUMBER('Precision and trueness'!$G$20),M17,NA())</f>
        <v>5</v>
      </c>
      <c r="M17" s="232">
        <v>5</v>
      </c>
      <c r="N17" s="232">
        <f>IF(OR(ISBLANK('Precision and trueness'!$G$42),COUNT('Precision and trueness'!$C$20:$L$20)&lt;'P Calc'!$M17),NA(),'P Calc'!$M17)</f>
        <v>5</v>
      </c>
      <c r="O17" s="232">
        <f>IF(OR(ISBLANK('Precision and trueness'!$AC$9),COUNT('Precision and trueness'!$C$20:$L$20)&lt;'P Calc'!$M17),"",'Precision and trueness'!$AC$9)</f>
        <v>5.0999999999999996</v>
      </c>
      <c r="P17" s="232">
        <f>IF(AND(ISNUMBER('Precision and trueness'!$AC$9),(OR(ISNUMBER('Precision and trueness'!$AC$10),ISNUMBER('Precision and trueness'!$AC$12)))),$O$13+2*$R$13,"")</f>
        <v>5.5</v>
      </c>
      <c r="Q17" s="232">
        <f>IF(AND(ISNUMBER('Precision and trueness'!$AC$9),(OR(ISNUMBER('Precision and trueness'!$AC$10),ISNUMBER('Precision and trueness'!$AC$12)))),O17-2*$R$13,"")</f>
        <v>4.6999999999999993</v>
      </c>
      <c r="V17" s="341" t="s">
        <v>109</v>
      </c>
      <c r="W17" s="232">
        <f>IF(OR(ISBLANK('Precision and trueness'!$G$41),COUNT('Precision and trueness'!$C$20:$L$20)&lt;'P Calc'!$M13),NA(),'P Calc'!$M13)</f>
        <v>1</v>
      </c>
      <c r="X17" s="232">
        <f>IF(OR(ISBLANK('Precision and trueness'!$Y$10),'Precision and trueness'!$Y$7+1&lt;'P Calc'!$M13),"",'Precision and trueness'!$Y$10)</f>
        <v>5.1847619047619045</v>
      </c>
      <c r="Y17" s="232">
        <f>X17+2*'Precision and trueness'!Y$19</f>
        <v>5.8342049659170394</v>
      </c>
      <c r="Z17" s="232">
        <f>X17-2*'Precision and trueness'!$Y$19</f>
        <v>4.5353188436067695</v>
      </c>
      <c r="AB17" s="262"/>
      <c r="AG17" s="263"/>
    </row>
    <row r="18" spans="1:35" x14ac:dyDescent="0.2">
      <c r="A18" s="264" t="s">
        <v>90</v>
      </c>
      <c r="B18" s="232" t="str">
        <f>IF('Precision and trueness'!Y17&lt;B15,D19,D18)</f>
        <v>Review !!</v>
      </c>
      <c r="C18" s="267" t="str">
        <f>IF('Precision and trueness'!Z17&lt;C15,D19,D18)</f>
        <v>Accept</v>
      </c>
      <c r="D18" s="268" t="s">
        <v>91</v>
      </c>
      <c r="L18" s="232" t="e">
        <f>IF(ISNUMBER('Precision and trueness'!$H$20),M18,NA())</f>
        <v>#N/A</v>
      </c>
      <c r="M18" s="232">
        <v>6</v>
      </c>
      <c r="N18" s="232" t="e">
        <f>IF(OR(ISBLANK('Precision and trueness'!$G$42),COUNT('Precision and trueness'!$C$20:$L$20)&lt;'P Calc'!$M18),NA(),'P Calc'!$M18)</f>
        <v>#N/A</v>
      </c>
      <c r="O18" s="232" t="str">
        <f>IF(OR(ISBLANK('Precision and trueness'!$AC$9),COUNT('Precision and trueness'!$C$20:$L$20)&lt;'P Calc'!$M18),"",'Precision and trueness'!$AC$9)</f>
        <v/>
      </c>
      <c r="P18" s="232">
        <f>IF(AND(ISNUMBER('Precision and trueness'!$AC$9),(OR(ISNUMBER('Precision and trueness'!$AC$10),ISNUMBER('Precision and trueness'!$AC$12)))),$O$13+2*$R$13,"")</f>
        <v>5.5</v>
      </c>
      <c r="Q18" s="232" t="e">
        <f>IF(AND(ISNUMBER('Precision and trueness'!$AC$9),(OR(ISNUMBER('Precision and trueness'!$AC$10),ISNUMBER('Precision and trueness'!$AC$12)))),O18-2*$R$13,"")</f>
        <v>#VALUE!</v>
      </c>
      <c r="V18" s="341"/>
      <c r="W18" s="232">
        <f>IF(OR(ISBLANK('Precision and trueness'!$G$41),COUNT('Precision and trueness'!$C$20:$L$20)&lt;'P Calc'!$M14),NA(),'P Calc'!$M14)</f>
        <v>2</v>
      </c>
      <c r="X18" s="232">
        <f>IF(OR(ISBLANK('Precision and trueness'!$Y$10),'Precision and trueness'!$Y$7+1&lt;'P Calc'!$M14),"",'Precision and trueness'!$Y$10)</f>
        <v>5.1847619047619045</v>
      </c>
      <c r="Y18" s="232">
        <f>X18+2*'Precision and trueness'!Y$19</f>
        <v>5.8342049659170394</v>
      </c>
      <c r="Z18" s="232">
        <f>X18-2*'Precision and trueness'!$Y$19</f>
        <v>4.5353188436067695</v>
      </c>
      <c r="AB18" s="262"/>
      <c r="AC18" s="262"/>
      <c r="AG18" s="263"/>
      <c r="AI18" s="262"/>
    </row>
    <row r="19" spans="1:35" x14ac:dyDescent="0.2">
      <c r="A19" s="264"/>
      <c r="D19" s="269" t="s">
        <v>92</v>
      </c>
      <c r="L19" s="232" t="e">
        <f>IF(ISNUMBER('Precision and trueness'!$I$20),M19,NA())</f>
        <v>#N/A</v>
      </c>
      <c r="M19" s="232">
        <v>7</v>
      </c>
      <c r="N19" s="232" t="e">
        <f>IF(OR(ISBLANK('Precision and trueness'!$G$42),COUNT('Precision and trueness'!$C$20:$L$20)&lt;'P Calc'!$M19),NA(),'P Calc'!$M19)</f>
        <v>#N/A</v>
      </c>
      <c r="O19" s="232" t="str">
        <f>IF(OR(ISBLANK('Precision and trueness'!$AC$9),COUNT('Precision and trueness'!$C$20:$L$20)&lt;'P Calc'!$M19),"",'Precision and trueness'!$AC$9)</f>
        <v/>
      </c>
      <c r="P19" s="232">
        <f>IF(AND(ISNUMBER('Precision and trueness'!$AC$9),(OR(ISNUMBER('Precision and trueness'!$AC$10),ISNUMBER('Precision and trueness'!$AC$12)))),$O$13+2*$R$13,"")</f>
        <v>5.5</v>
      </c>
      <c r="Q19" s="232" t="e">
        <f>IF(AND(ISNUMBER('Precision and trueness'!$AC$9),(OR(ISNUMBER('Precision and trueness'!$AC$10),ISNUMBER('Precision and trueness'!$AC$12)))),O19-2*$R$13,"")</f>
        <v>#VALUE!</v>
      </c>
      <c r="V19" s="341"/>
      <c r="W19" s="232">
        <f>IF(OR(ISBLANK('Precision and trueness'!$G$41),COUNT('Precision and trueness'!$C$20:$L$20)&lt;'P Calc'!$M15),NA(),'P Calc'!$M15)</f>
        <v>3</v>
      </c>
      <c r="X19" s="232">
        <f>IF(OR(ISBLANK('Precision and trueness'!$Y$10),'Precision and trueness'!$Y$7+1&lt;'P Calc'!$M15),"",'Precision and trueness'!$Y$10)</f>
        <v>5.1847619047619045</v>
      </c>
      <c r="Y19" s="232">
        <f>X19+2*'Precision and trueness'!Y$19</f>
        <v>5.8342049659170394</v>
      </c>
      <c r="Z19" s="232">
        <f>X19-2*'Precision and trueness'!$Y$19</f>
        <v>4.5353188436067695</v>
      </c>
      <c r="AB19" s="262"/>
      <c r="AC19" s="262"/>
      <c r="AD19" s="262"/>
      <c r="AE19" s="262"/>
      <c r="AF19" s="262"/>
      <c r="AG19" s="262"/>
      <c r="AH19" s="262"/>
      <c r="AI19" s="262"/>
    </row>
    <row r="20" spans="1:35" x14ac:dyDescent="0.2">
      <c r="A20" s="264" t="s">
        <v>93</v>
      </c>
      <c r="B20" s="232">
        <f>'Precision and trueness'!Y16-(Z5-1)*'Precision and trueness'!Y14/Z5</f>
        <v>6.7324528769852815E-2</v>
      </c>
      <c r="C20" s="232">
        <f>'Precision and trueness'!Z16-(AA5-1)*'Precision and trueness'!Z14/AA5</f>
        <v>0.24575000000004363</v>
      </c>
      <c r="L20" s="232" t="e">
        <f>IF(ISNUMBER('Precision and trueness'!$J$20),M20,NA())</f>
        <v>#N/A</v>
      </c>
      <c r="M20" s="232">
        <v>8</v>
      </c>
      <c r="N20" s="232" t="e">
        <f>IF(OR(ISBLANK('Precision and trueness'!$G$42),COUNT('Precision and trueness'!$C$20:$L$20)&lt;'P Calc'!$M20),NA(),'P Calc'!$M20)</f>
        <v>#N/A</v>
      </c>
      <c r="O20" s="232" t="str">
        <f>IF(OR(ISBLANK('Precision and trueness'!$AC$9),COUNT('Precision and trueness'!$C$20:$L$20)&lt;'P Calc'!$M20),"",'Precision and trueness'!$AC$9)</f>
        <v/>
      </c>
      <c r="P20" s="232">
        <f>IF(AND(ISNUMBER('Precision and trueness'!$AC$9),(OR(ISNUMBER('Precision and trueness'!$AC$10),ISNUMBER('Precision and trueness'!$AC$12)))),$O$13+2*$R$13,"")</f>
        <v>5.5</v>
      </c>
      <c r="Q20" s="232" t="e">
        <f>IF(AND(ISNUMBER('Precision and trueness'!$AC$9),(OR(ISNUMBER('Precision and trueness'!$AC$10),ISNUMBER('Precision and trueness'!$AC$12)))),O20-2*$R$13,"")</f>
        <v>#VALUE!</v>
      </c>
      <c r="V20" s="341"/>
      <c r="W20" s="232">
        <f>IF(OR(ISBLANK('Precision and trueness'!$G$41),COUNT('Precision and trueness'!$C$20:$L$20)&lt;'P Calc'!$M16),NA(),'P Calc'!$M16)</f>
        <v>4</v>
      </c>
      <c r="X20" s="232">
        <f>IF(OR(ISBLANK('Precision and trueness'!$Y$10),'Precision and trueness'!$Y$7+1&lt;'P Calc'!$M16),"",'Precision and trueness'!$Y$10)</f>
        <v>5.1847619047619045</v>
      </c>
      <c r="Y20" s="232">
        <f>X20+2*'Precision and trueness'!Y$19</f>
        <v>5.8342049659170394</v>
      </c>
      <c r="Z20" s="232">
        <f>X20-2*'Precision and trueness'!$Y$19</f>
        <v>4.5353188436067695</v>
      </c>
      <c r="AB20" s="262"/>
      <c r="AC20" s="262"/>
      <c r="AD20" s="262"/>
      <c r="AE20" s="262"/>
      <c r="AF20" s="262"/>
      <c r="AG20" s="262"/>
      <c r="AH20" s="262"/>
    </row>
    <row r="21" spans="1:35" x14ac:dyDescent="0.2">
      <c r="A21" s="264" t="s">
        <v>94</v>
      </c>
      <c r="B21" s="232">
        <f>((Z5-1)*'Precision and trueness'!Y14+Z5*B20)^2</f>
        <v>0.4265042971825469</v>
      </c>
      <c r="C21" s="232">
        <f>((AA5-1)*'Precision and trueness'!Z14+AA5*C20)^2</f>
        <v>3.1892006944448545</v>
      </c>
      <c r="E21" s="257"/>
      <c r="G21" s="257"/>
      <c r="H21" s="257"/>
      <c r="I21" s="257"/>
      <c r="J21" s="257"/>
      <c r="K21" s="257"/>
      <c r="L21" s="232" t="e">
        <f>IF(ISNUMBER('Precision and trueness'!$K$20),M21,NA())</f>
        <v>#N/A</v>
      </c>
      <c r="M21" s="232">
        <v>9</v>
      </c>
      <c r="N21" s="232" t="e">
        <f>IF(OR(ISBLANK('Precision and trueness'!$G$42),COUNT('Precision and trueness'!$C$20:$L$20)&lt;'P Calc'!$M21),NA(),'P Calc'!$M21)</f>
        <v>#N/A</v>
      </c>
      <c r="O21" s="232" t="str">
        <f>IF(OR(ISBLANK('Precision and trueness'!$AC$9),COUNT('Precision and trueness'!$C$20:$L$20)&lt;'P Calc'!$M21),"",'Precision and trueness'!$AC$9)</f>
        <v/>
      </c>
      <c r="P21" s="232">
        <f>IF(AND(ISNUMBER('Precision and trueness'!$AC$9),(OR(ISNUMBER('Precision and trueness'!$AC$10),ISNUMBER('Precision and trueness'!$AC$12)))),$O$13+2*$R$13,"")</f>
        <v>5.5</v>
      </c>
      <c r="Q21" s="232" t="e">
        <f>IF(AND(ISNUMBER('Precision and trueness'!$AC$9),(OR(ISNUMBER('Precision and trueness'!$AC$10),ISNUMBER('Precision and trueness'!$AC$12)))),O21-2*$R$13,"")</f>
        <v>#VALUE!</v>
      </c>
      <c r="V21" s="341"/>
      <c r="W21" s="232">
        <f>IF(OR(ISBLANK('Precision and trueness'!$G$41),COUNT('Precision and trueness'!$C$20:$L$20)&lt;'P Calc'!$M17),NA(),'P Calc'!$M17)</f>
        <v>5</v>
      </c>
      <c r="X21" s="232">
        <f>IF(OR(ISBLANK('Precision and trueness'!$Y$10),'Precision and trueness'!$Y$7+1&lt;'P Calc'!$M17),"",'Precision and trueness'!$Y$10)</f>
        <v>5.1847619047619045</v>
      </c>
      <c r="Y21" s="232">
        <f>X21+2*'Precision and trueness'!Y$19</f>
        <v>5.8342049659170394</v>
      </c>
      <c r="Z21" s="232">
        <f>X21-2*'Precision and trueness'!$Y$19</f>
        <v>4.5353188436067695</v>
      </c>
      <c r="AC21" s="262"/>
      <c r="AD21" s="262"/>
      <c r="AE21" s="263"/>
      <c r="AF21" s="263"/>
    </row>
    <row r="22" spans="1:35" x14ac:dyDescent="0.2">
      <c r="A22" s="264" t="s">
        <v>95</v>
      </c>
      <c r="B22" s="232">
        <f>(Z5-1)*'Precision and trueness'!Y14^2/B25+Z5^2*B20^2/(B25-1)</f>
        <v>4.5614152456424563E-2</v>
      </c>
      <c r="C22" s="232">
        <f>(AA5-1)*'Precision and trueness'!Z14^2/C25+AA5^2*C20^2/(C25-1)</f>
        <v>0.54741470027796713</v>
      </c>
      <c r="L22" s="232" t="e">
        <f>IF(ISNUMBER('Precision and trueness'!$L$20),M22,NA())</f>
        <v>#N/A</v>
      </c>
      <c r="M22" s="232">
        <v>10</v>
      </c>
      <c r="N22" s="232" t="e">
        <f>IF(OR(ISBLANK('Precision and trueness'!$G$42),COUNT('Precision and trueness'!$C$20:$L$20)&lt;'P Calc'!$M22),NA(),'P Calc'!$M22)</f>
        <v>#N/A</v>
      </c>
      <c r="O22" s="232" t="str">
        <f>IF(OR(ISBLANK('Precision and trueness'!$AC$9),COUNT('Precision and trueness'!$C$20:$L$20)&lt;'P Calc'!$M22),"",'Precision and trueness'!$AC$9)</f>
        <v/>
      </c>
      <c r="P22" s="232">
        <f>IF(AND(ISNUMBER('Precision and trueness'!$AC$9),(OR(ISNUMBER('Precision and trueness'!$AC$10),ISNUMBER('Precision and trueness'!$AC$12)))),$O$13+2*$R$13,"")</f>
        <v>5.5</v>
      </c>
      <c r="Q22" s="232" t="e">
        <f>IF(AND(ISNUMBER('Precision and trueness'!$AC$9),(OR(ISNUMBER('Precision and trueness'!$AC$10),ISNUMBER('Precision and trueness'!$AC$12)))),O22-2*$R$13,"")</f>
        <v>#VALUE!</v>
      </c>
      <c r="V22" s="341"/>
      <c r="W22" s="232" t="e">
        <f>IF(OR(ISBLANK('Precision and trueness'!$G$41),COUNT('Precision and trueness'!$C$20:$L$20)&lt;'P Calc'!$M18),NA(),'P Calc'!$M18)</f>
        <v>#N/A</v>
      </c>
      <c r="X22" s="232" t="str">
        <f>IF(OR(ISBLANK('Precision and trueness'!$Y$10),'Precision and trueness'!$Y$7+1&lt;'P Calc'!$M18),"",'Precision and trueness'!$Y$10)</f>
        <v/>
      </c>
      <c r="Y22" s="232" t="e">
        <f>X22+2*'Precision and trueness'!Y$19</f>
        <v>#VALUE!</v>
      </c>
      <c r="Z22" s="232" t="e">
        <f>X22-2*'Precision and trueness'!$Y$19</f>
        <v>#VALUE!</v>
      </c>
      <c r="AB22" s="262"/>
      <c r="AD22" s="263"/>
      <c r="AE22" s="263"/>
    </row>
    <row r="23" spans="1:35" x14ac:dyDescent="0.2">
      <c r="A23" s="264" t="s">
        <v>96</v>
      </c>
      <c r="B23" s="232">
        <f>B21/B22</f>
        <v>9.3502624561530254</v>
      </c>
      <c r="C23" s="232">
        <f>C21/C22</f>
        <v>5.8259317713343046</v>
      </c>
      <c r="D23" s="232">
        <f>ROUND(B23,0)</f>
        <v>9</v>
      </c>
      <c r="F23" s="232">
        <f>ROUND(C23,0)</f>
        <v>6</v>
      </c>
      <c r="L23" s="232">
        <f>IF(ISNUMBER('Precision and trueness'!$M$20),M23,NA())</f>
        <v>1</v>
      </c>
      <c r="M23" s="232">
        <v>1</v>
      </c>
      <c r="N23" s="232">
        <f>IF(OR(ISBLANK('Precision and trueness'!$Q$42),COUNT('Precision and trueness'!$M$20:$V$20)&lt;'P Calc'!$M23),NA(),'P Calc'!$M23)</f>
        <v>1</v>
      </c>
      <c r="O23" s="232">
        <f>IF(OR(ISBLANK('Precision and trueness'!$AD$9),COUNT('Precision and trueness'!$M$20:$V$20)&lt;'P Calc'!$M23),"",'Precision and trueness'!$AD$9)</f>
        <v>10.8</v>
      </c>
      <c r="P23" s="232">
        <f>IF(AND(ISNUMBER('Precision and trueness'!$AD$9),(OR(ISNUMBER('Precision and trueness'!$AD$10),ISNUMBER('Precision and trueness'!$AD$12)))),$O$23+2*$R$14,"")</f>
        <v>12.96</v>
      </c>
      <c r="Q23" s="232">
        <f>IF(AND(ISNUMBER('Precision and trueness'!$AD$9),(OR(ISNUMBER('Precision and trueness'!$AD$10),ISNUMBER('Precision and trueness'!$AD$12)))),$O$23-2*$R$14,"")</f>
        <v>8.64</v>
      </c>
      <c r="V23" s="341"/>
      <c r="W23" s="232" t="e">
        <f>IF(OR(ISBLANK('Precision and trueness'!$G$41),COUNT('Precision and trueness'!$C$20:$L$20)&lt;'P Calc'!$M19),NA(),'P Calc'!$M19)</f>
        <v>#N/A</v>
      </c>
      <c r="X23" s="229" t="str">
        <f>IF(OR(ISBLANK('Precision and trueness'!$Y$10),'Precision and trueness'!$Y$7+1&lt;'P Calc'!$M19),"",'Precision and trueness'!$Y$10)</f>
        <v/>
      </c>
      <c r="Y23" s="229" t="e">
        <f>X23+2*'Precision and trueness'!Y$19</f>
        <v>#VALUE!</v>
      </c>
      <c r="Z23" s="229" t="e">
        <f>X23-2*'Precision and trueness'!$Y$19</f>
        <v>#VALUE!</v>
      </c>
      <c r="AB23" s="262"/>
      <c r="AC23" s="262"/>
      <c r="AD23" s="263"/>
      <c r="AE23" s="263"/>
    </row>
    <row r="24" spans="1:35" ht="12.75" customHeight="1" x14ac:dyDescent="0.2">
      <c r="A24" s="264" t="s">
        <v>97</v>
      </c>
      <c r="B24" s="261">
        <f>Z5</f>
        <v>6.193548387096774</v>
      </c>
      <c r="C24" s="261">
        <f>AA5</f>
        <v>6</v>
      </c>
      <c r="L24" s="232">
        <f>IF(ISNUMBER('Precision and trueness'!$N$20),M24,NA())</f>
        <v>2</v>
      </c>
      <c r="M24" s="232">
        <v>2</v>
      </c>
      <c r="N24" s="232">
        <f>IF(OR(ISBLANK('Precision and trueness'!$Q$42),COUNT('Precision and trueness'!$M$20:$V$20)&lt;'P Calc'!$M24),NA(),'P Calc'!$M24)</f>
        <v>2</v>
      </c>
      <c r="O24" s="232">
        <f>IF(OR(ISBLANK('Precision and trueness'!$AD$9),COUNT('Precision and trueness'!$M$20:$V$20)&lt;'P Calc'!$M24),"",'Precision and trueness'!$AD$9)</f>
        <v>10.8</v>
      </c>
      <c r="P24" s="232">
        <f>IF(AND(ISNUMBER('Precision and trueness'!$AD$9),(OR(ISNUMBER('Precision and trueness'!$AD$10),ISNUMBER('Precision and trueness'!$AD$12)))),$O$23+2*$R$14,"")</f>
        <v>12.96</v>
      </c>
      <c r="Q24" s="232">
        <f>IF(AND(ISNUMBER('Precision and trueness'!$AD$9),(OR(ISNUMBER('Precision and trueness'!$AD$10),ISNUMBER('Precision and trueness'!$AD$12)))),$O$23-2*$R$14,"")</f>
        <v>8.64</v>
      </c>
      <c r="V24" s="341"/>
      <c r="W24" s="232" t="e">
        <f>IF(OR(ISBLANK('Precision and trueness'!$G$41),COUNT('Precision and trueness'!$C$20:$L$20)&lt;'P Calc'!$M20),NA(),'P Calc'!$M20)</f>
        <v>#N/A</v>
      </c>
      <c r="X24" s="229" t="str">
        <f>IF(OR(ISBLANK('Precision and trueness'!$Y$10),'Precision and trueness'!$Y$7+1&lt;'P Calc'!$M20),"",'Precision and trueness'!$Y$10)</f>
        <v/>
      </c>
      <c r="Y24" s="229" t="e">
        <f>X24+2*'Precision and trueness'!Y$19</f>
        <v>#VALUE!</v>
      </c>
      <c r="Z24" s="229" t="e">
        <f>X24-2*'Precision and trueness'!$Y$19</f>
        <v>#VALUE!</v>
      </c>
      <c r="AB24" s="262"/>
      <c r="AC24" s="262"/>
      <c r="AD24" s="263"/>
      <c r="AE24" s="263"/>
    </row>
    <row r="25" spans="1:35" x14ac:dyDescent="0.2">
      <c r="A25" s="264" t="s">
        <v>98</v>
      </c>
      <c r="B25" s="261">
        <f>COUNT('Precision and trueness'!C5:L5)</f>
        <v>5</v>
      </c>
      <c r="C25" s="261">
        <f>COUNT('Precision and trueness'!M5:V5)</f>
        <v>5</v>
      </c>
      <c r="L25" s="232">
        <f>IF(ISNUMBER('Precision and trueness'!$O$20),M25,NA())</f>
        <v>3</v>
      </c>
      <c r="M25" s="232">
        <v>3</v>
      </c>
      <c r="N25" s="232">
        <f>IF(OR(ISBLANK('Precision and trueness'!$Q$42),COUNT('Precision and trueness'!$M$20:$V$20)&lt;'P Calc'!$M25),NA(),'P Calc'!$M25)</f>
        <v>3</v>
      </c>
      <c r="O25" s="232">
        <f>IF(OR(ISBLANK('Precision and trueness'!$AD$9),COUNT('Precision and trueness'!$M$20:$V$20)&lt;'P Calc'!$M25),"",'Precision and trueness'!$AD$9)</f>
        <v>10.8</v>
      </c>
      <c r="P25" s="232">
        <f>IF(AND(ISNUMBER('Precision and trueness'!$AD$9),(OR(ISNUMBER('Precision and trueness'!$AD$10),ISNUMBER('Precision and trueness'!$AD$12)))),$O$23+2*$R$14,"")</f>
        <v>12.96</v>
      </c>
      <c r="Q25" s="232">
        <f>IF(AND(ISNUMBER('Precision and trueness'!$AD$9),(OR(ISNUMBER('Precision and trueness'!$AD$10),ISNUMBER('Precision and trueness'!$AD$12)))),$O$23-2*$R$14,"")</f>
        <v>8.64</v>
      </c>
      <c r="V25" s="341"/>
      <c r="W25" s="232" t="e">
        <f>IF(OR(ISBLANK('Precision and trueness'!$G$41),COUNT('Precision and trueness'!$C$20:$L$20)&lt;'P Calc'!$M21),NA(),'P Calc'!$M21)</f>
        <v>#N/A</v>
      </c>
      <c r="X25" s="229" t="str">
        <f>IF(OR(ISBLANK('Precision and trueness'!$Y$10),'Precision and trueness'!$Y$7+1&lt;'P Calc'!$M21),"",'Precision and trueness'!$Y$10)</f>
        <v/>
      </c>
      <c r="Y25" s="229" t="e">
        <f>X25+2*'Precision and trueness'!Y$19</f>
        <v>#VALUE!</v>
      </c>
      <c r="Z25" s="229" t="e">
        <f>X25-2*'Precision and trueness'!$Y$19</f>
        <v>#VALUE!</v>
      </c>
      <c r="AB25" s="270"/>
      <c r="AC25" s="262"/>
      <c r="AD25" s="263"/>
      <c r="AE25" s="263"/>
    </row>
    <row r="26" spans="1:35" x14ac:dyDescent="0.2">
      <c r="A26" s="260" t="str">
        <f>+A12</f>
        <v>Manuf. claimed within CV%:</v>
      </c>
      <c r="B26" s="261">
        <f>'Precision and trueness'!Y35</f>
        <v>0.04</v>
      </c>
      <c r="C26" s="261">
        <f>'Precision and trueness'!Z35</f>
        <v>0</v>
      </c>
      <c r="L26" s="232">
        <f>IF(ISNUMBER('Precision and trueness'!$P$20),M26,NA())</f>
        <v>4</v>
      </c>
      <c r="M26" s="232">
        <v>4</v>
      </c>
      <c r="N26" s="232">
        <f>IF(OR(ISBLANK('Precision and trueness'!$Q$42),COUNT('Precision and trueness'!$M$20:$V$20)&lt;'P Calc'!$M26),NA(),'P Calc'!$M26)</f>
        <v>4</v>
      </c>
      <c r="O26" s="232">
        <f>IF(OR(ISBLANK('Precision and trueness'!$AD$9),COUNT('Precision and trueness'!$M$20:$V$20)&lt;'P Calc'!$M26),"",'Precision and trueness'!$AD$9)</f>
        <v>10.8</v>
      </c>
      <c r="P26" s="232">
        <f>IF(AND(ISNUMBER('Precision and trueness'!$AD$9),(OR(ISNUMBER('Precision and trueness'!$AD$10),ISNUMBER('Precision and trueness'!$AD$12)))),$O$23+2*$R$14,"")</f>
        <v>12.96</v>
      </c>
      <c r="Q26" s="232">
        <f>IF(AND(ISNUMBER('Precision and trueness'!$AD$9),(OR(ISNUMBER('Precision and trueness'!$AD$10),ISNUMBER('Precision and trueness'!$AD$12)))),$O$23-2*$R$14,"")</f>
        <v>8.64</v>
      </c>
      <c r="V26" s="342"/>
      <c r="W26" s="232" t="e">
        <f>IF(OR(ISBLANK('Precision and trueness'!$G$41),COUNT('Precision and trueness'!$C$20:$L$20)&lt;'P Calc'!$M22),NA(),'P Calc'!$M22)</f>
        <v>#N/A</v>
      </c>
      <c r="X26" s="229" t="str">
        <f>IF(OR(ISBLANK('Precision and trueness'!$Y$10),'Precision and trueness'!$Y$7+1&lt;'P Calc'!$M22),"",'Precision and trueness'!$Y$10)</f>
        <v/>
      </c>
      <c r="Y26" s="229" t="e">
        <f>X26+2*'Precision and trueness'!Y$19</f>
        <v>#VALUE!</v>
      </c>
      <c r="Z26" s="229" t="e">
        <f>X26-2*'Precision and trueness'!$Y$19</f>
        <v>#VALUE!</v>
      </c>
      <c r="AB26" s="262"/>
      <c r="AC26" s="262"/>
      <c r="AD26" s="263"/>
      <c r="AE26" s="263"/>
    </row>
    <row r="27" spans="1:35" ht="16.5" customHeight="1" x14ac:dyDescent="0.2">
      <c r="A27" s="260" t="str">
        <f>A13</f>
        <v>Manuf. claimed within SD:</v>
      </c>
      <c r="B27" s="232">
        <f>IF(ISBLANK('Precision and trueness'!Y33),'Precision and trueness'!Y34,'Precision and trueness'!Y33)</f>
        <v>0.20739047619047618</v>
      </c>
      <c r="C27" s="232">
        <f>IF(ISBLANK('Precision and trueness'!Z33),'Precision and trueness'!Z34,'Precision and trueness'!Z33)</f>
        <v>5</v>
      </c>
      <c r="L27" s="232">
        <f>IF(ISNUMBER('Precision and trueness'!$Q$20),M27,NA())</f>
        <v>5</v>
      </c>
      <c r="M27" s="232">
        <v>5</v>
      </c>
      <c r="N27" s="232">
        <f>IF(OR(ISBLANK('Precision and trueness'!$Q$42),COUNT('Precision and trueness'!$M$20:$V$20)&lt;'P Calc'!$M27),NA(),'P Calc'!$M27)</f>
        <v>5</v>
      </c>
      <c r="O27" s="232">
        <f>IF(OR(ISBLANK('Precision and trueness'!$AD$9),COUNT('Precision and trueness'!$M$20:$V$20)&lt;'P Calc'!$M27),"",'Precision and trueness'!$AD$9)</f>
        <v>10.8</v>
      </c>
      <c r="P27" s="232">
        <f>IF(AND(ISNUMBER('Precision and trueness'!$AD$9),(OR(ISNUMBER('Precision and trueness'!$AD$10),ISNUMBER('Precision and trueness'!$AD$12)))),$O$23+2*$R$14,"")</f>
        <v>12.96</v>
      </c>
      <c r="Q27" s="232">
        <f>IF(AND(ISNUMBER('Precision and trueness'!$AD$9),(OR(ISNUMBER('Precision and trueness'!$AD$10),ISNUMBER('Precision and trueness'!$AD$12)))),$O$23-2*$R$14,"")</f>
        <v>8.64</v>
      </c>
      <c r="V27" s="343" t="s">
        <v>110</v>
      </c>
      <c r="W27" s="232">
        <f>IF(OR(ISBLANK('Precision and trueness'!$Q$41),COUNT('Precision and trueness'!$M$20:$V$20)&lt;'P Calc'!$M23),NA(),'P Calc'!$M23)</f>
        <v>1</v>
      </c>
      <c r="X27" s="232">
        <f>IF(OR(ISBLANK('Precision and trueness'!$Z$10),'Precision and trueness'!$Z$7+1&lt;'P Calc'!$M23),"",'Precision and trueness'!$Z$10)</f>
        <v>10.953333333333335</v>
      </c>
      <c r="Y27" s="232">
        <f>X27+2*'Precision and trueness'!Z$19</f>
        <v>12.044459153555565</v>
      </c>
      <c r="Z27" s="232">
        <f>X27-2*'Precision and trueness'!$Z$19</f>
        <v>9.8622075131111053</v>
      </c>
      <c r="AB27" s="262"/>
      <c r="AC27" s="262"/>
      <c r="AD27" s="263"/>
      <c r="AE27" s="263"/>
    </row>
    <row r="28" spans="1:35" x14ac:dyDescent="0.2">
      <c r="A28" s="260" t="str">
        <f>+A14</f>
        <v>False rejection rate  (%):</v>
      </c>
      <c r="B28" s="232">
        <f>'Precision and trueness'!Y36/100</f>
        <v>0.05</v>
      </c>
      <c r="C28" s="232">
        <f>'Precision and trueness'!Z36/100</f>
        <v>0.05</v>
      </c>
      <c r="L28" s="232" t="e">
        <f>IF(ISNUMBER('Precision and trueness'!$R$20),M28,NA())</f>
        <v>#N/A</v>
      </c>
      <c r="M28" s="232">
        <v>6</v>
      </c>
      <c r="N28" s="232" t="e">
        <f>IF(OR(ISBLANK('Precision and trueness'!$Q$42),COUNT('Precision and trueness'!$M$20:$V$20)&lt;'P Calc'!$M28),NA(),'P Calc'!$M28)</f>
        <v>#N/A</v>
      </c>
      <c r="O28" s="232" t="str">
        <f>IF(OR(ISBLANK('Precision and trueness'!$AD$9),COUNT('Precision and trueness'!$M$20:$V$20)&lt;'P Calc'!$M28),"",'Precision and trueness'!$AD$9)</f>
        <v/>
      </c>
      <c r="P28" s="232">
        <f>IF(AND(ISNUMBER('Precision and trueness'!$AD$9),(OR(ISNUMBER('Precision and trueness'!$AD$10),ISNUMBER('Precision and trueness'!$AD$12)))),$O$23+2*$R$14,"")</f>
        <v>12.96</v>
      </c>
      <c r="Q28" s="232">
        <f>IF(AND(ISNUMBER('Precision and trueness'!$AD$9),(OR(ISNUMBER('Precision and trueness'!$AD$10),ISNUMBER('Precision and trueness'!$AD$12)))),$O$23-2*$R$14,"")</f>
        <v>8.64</v>
      </c>
      <c r="V28" s="344"/>
      <c r="W28" s="232">
        <f>IF(OR(ISBLANK('Precision and trueness'!$Q$41),COUNT('Precision and trueness'!$M$20:$V$20)&lt;'P Calc'!$M24),NA(),'P Calc'!$M24)</f>
        <v>2</v>
      </c>
      <c r="X28" s="232">
        <f>IF(OR(ISBLANK('Precision and trueness'!$Z$10),'Precision and trueness'!$Z$7+1&lt;'P Calc'!$M24),"",'Precision and trueness'!$Z$10)</f>
        <v>10.953333333333335</v>
      </c>
      <c r="Y28" s="232">
        <f>X28+2*'Precision and trueness'!Z$19</f>
        <v>12.044459153555565</v>
      </c>
      <c r="Z28" s="232">
        <f>X28-2*'Precision and trueness'!$Z$19</f>
        <v>9.8622075131111053</v>
      </c>
      <c r="AB28" s="262"/>
      <c r="AC28" s="262"/>
      <c r="AD28" s="263"/>
      <c r="AE28" s="263"/>
    </row>
    <row r="29" spans="1:35" x14ac:dyDescent="0.2">
      <c r="A29" s="264" t="str">
        <f>+A15</f>
        <v>Verification value:</v>
      </c>
      <c r="B29" s="232">
        <f>IF(OR(AND(ISBLANK('Precision and trueness'!Y33),ISBLANK('Precision and trueness'!Y35)),ISBLANK('Precision and trueness'!Y4)),"",B27*SQRT(E31/B23))</f>
        <v>0.29581061982388041</v>
      </c>
      <c r="C29" s="232">
        <f>IF(OR(AND(ISBLANK('Precision and trueness'!Z33),ISBLANK('Precision and trueness'!Z35)),ISBLANK('Precision and trueness'!Z4)),"",C27*SQRT(G31/C23))</f>
        <v>7.874297944666429</v>
      </c>
      <c r="L29" s="232" t="e">
        <f>IF(ISNUMBER('Precision and trueness'!$S$20),M29,NA())</f>
        <v>#N/A</v>
      </c>
      <c r="M29" s="232">
        <v>7</v>
      </c>
      <c r="N29" s="232" t="e">
        <f>IF(OR(ISBLANK('Precision and trueness'!$Q$42),COUNT('Precision and trueness'!$M$20:$V$20)&lt;'P Calc'!$M29),NA(),'P Calc'!$M29)</f>
        <v>#N/A</v>
      </c>
      <c r="O29" s="232" t="str">
        <f>IF(OR(ISBLANK('Precision and trueness'!$AD$9),COUNT('Precision and trueness'!$M$20:$V$20)&lt;'P Calc'!$M29),"",'Precision and trueness'!$AD$9)</f>
        <v/>
      </c>
      <c r="P29" s="232">
        <f>IF(AND(ISNUMBER('Precision and trueness'!$AD$9),(OR(ISNUMBER('Precision and trueness'!$AD$10),ISNUMBER('Precision and trueness'!$AD$12)))),$O$23+2*$R$14,"")</f>
        <v>12.96</v>
      </c>
      <c r="Q29" s="232">
        <f>IF(AND(ISNUMBER('Precision and trueness'!$AD$9),(OR(ISNUMBER('Precision and trueness'!$AD$10),ISNUMBER('Precision and trueness'!$AD$12)))),$O$23-2*$R$14,"")</f>
        <v>8.64</v>
      </c>
      <c r="V29" s="344"/>
      <c r="W29" s="232">
        <f>IF(OR(ISBLANK('Precision and trueness'!$Q$41),COUNT('Precision and trueness'!$M$20:$V$20)&lt;'P Calc'!$M25),NA(),'P Calc'!$M25)</f>
        <v>3</v>
      </c>
      <c r="X29" s="232">
        <f>IF(OR(ISBLANK('Precision and trueness'!$Z$10),'Precision and trueness'!$Z$7+1&lt;'P Calc'!$M25),"",'Precision and trueness'!$Z$10)</f>
        <v>10.953333333333335</v>
      </c>
      <c r="Y29" s="232">
        <f>X29+2*'Precision and trueness'!Z$19</f>
        <v>12.044459153555565</v>
      </c>
      <c r="Z29" s="232">
        <f>X29-2*'Precision and trueness'!$Z$19</f>
        <v>9.8622075131111053</v>
      </c>
      <c r="AB29" s="262"/>
      <c r="AC29" s="262"/>
      <c r="AD29" s="263"/>
      <c r="AE29" s="263"/>
    </row>
    <row r="30" spans="1:35" x14ac:dyDescent="0.2">
      <c r="A30" s="265" t="str">
        <f>+A16</f>
        <v>Level' (2, 3 or 4):</v>
      </c>
      <c r="B30" s="232">
        <f>'Precision and trueness'!Y38</f>
        <v>2</v>
      </c>
      <c r="C30" s="232">
        <f>'Precision and trueness'!Z38</f>
        <v>2</v>
      </c>
      <c r="L30" s="232" t="e">
        <f>IF(ISNUMBER('Precision and trueness'!$S$20),M30,NA())</f>
        <v>#N/A</v>
      </c>
      <c r="M30" s="232">
        <v>8</v>
      </c>
      <c r="N30" s="232" t="e">
        <f>IF(OR(ISBLANK('Precision and trueness'!$Q$42),COUNT('Precision and trueness'!$M$20:$V$20)&lt;'P Calc'!$M30),NA(),'P Calc'!$M30)</f>
        <v>#N/A</v>
      </c>
      <c r="O30" s="232" t="str">
        <f>IF(OR(ISBLANK('Precision and trueness'!$AD$9),COUNT('Precision and trueness'!$M$20:$V$20)&lt;'P Calc'!$M30),"",'Precision and trueness'!$AD$9)</f>
        <v/>
      </c>
      <c r="P30" s="232">
        <f>IF(AND(ISNUMBER('Precision and trueness'!$AD$9),(OR(ISNUMBER('Precision and trueness'!$AD$10),ISNUMBER('Precision and trueness'!$AD$12)))),$O$23+2*$R$14,"")</f>
        <v>12.96</v>
      </c>
      <c r="Q30" s="232">
        <f>IF(AND(ISNUMBER('Precision and trueness'!$AD$9),(OR(ISNUMBER('Precision and trueness'!$AD$10),ISNUMBER('Precision and trueness'!$AD$12)))),$O$23-2*$R$14,"")</f>
        <v>8.64</v>
      </c>
      <c r="V30" s="344"/>
      <c r="W30" s="232">
        <f>IF(OR(ISBLANK('Precision and trueness'!$Q$41),COUNT('Precision and trueness'!$M$20:$V$20)&lt;'P Calc'!$M26),NA(),'P Calc'!$M26)</f>
        <v>4</v>
      </c>
      <c r="X30" s="232">
        <f>IF(OR(ISBLANK('Precision and trueness'!$Z$10),'Precision and trueness'!$Z$7+1&lt;'P Calc'!$M26),"",'Precision and trueness'!$Z$10)</f>
        <v>10.953333333333335</v>
      </c>
      <c r="Y30" s="232">
        <f>X30+2*'Precision and trueness'!Z$19</f>
        <v>12.044459153555565</v>
      </c>
      <c r="Z30" s="232">
        <f>X30-2*'Precision and trueness'!$Z$19</f>
        <v>9.8622075131111053</v>
      </c>
      <c r="AB30" s="262"/>
      <c r="AC30" s="262"/>
      <c r="AD30" s="263"/>
      <c r="AE30" s="263"/>
    </row>
    <row r="31" spans="1:35" x14ac:dyDescent="0.2">
      <c r="A31" s="264" t="s">
        <v>89</v>
      </c>
      <c r="B31" s="232">
        <f>1-B28/(B30)</f>
        <v>0.97499999999999998</v>
      </c>
      <c r="C31" s="232">
        <f>1-C28/(C30)</f>
        <v>0.97499999999999998</v>
      </c>
      <c r="D31" s="238" t="s">
        <v>89</v>
      </c>
      <c r="E31" s="232">
        <f>CHIINV(1-B31,ROUND(B23,0))</f>
        <v>19.022767798641631</v>
      </c>
      <c r="F31" s="238" t="s">
        <v>89</v>
      </c>
      <c r="G31" s="232">
        <f>CHIINV(1-C31,ROUND(C23,0))</f>
        <v>14.449375335447918</v>
      </c>
      <c r="L31" s="232" t="e">
        <f>IF(ISNUMBER('Precision and trueness'!$S$20),M31,NA())</f>
        <v>#N/A</v>
      </c>
      <c r="M31" s="232">
        <v>9</v>
      </c>
      <c r="N31" s="232" t="e">
        <f>IF(OR(ISBLANK('Precision and trueness'!$Q$42),COUNT('Precision and trueness'!$M$20:$V$20)&lt;'P Calc'!$M31),NA(),'P Calc'!$M31)</f>
        <v>#N/A</v>
      </c>
      <c r="O31" s="232" t="str">
        <f>IF(OR(ISBLANK('Precision and trueness'!$AD$9),COUNT('Precision and trueness'!$M$20:$V$20)&lt;'P Calc'!$M31),"",'Precision and trueness'!$AD$9)</f>
        <v/>
      </c>
      <c r="P31" s="232">
        <f>IF(AND(ISNUMBER('Precision and trueness'!$AD$9),(OR(ISNUMBER('Precision and trueness'!$AD$10),ISNUMBER('Precision and trueness'!$AD$12)))),$O$23+2*$R$14,"")</f>
        <v>12.96</v>
      </c>
      <c r="Q31" s="232">
        <f>IF(AND(ISNUMBER('Precision and trueness'!$AD$9),(OR(ISNUMBER('Precision and trueness'!$AD$10),ISNUMBER('Precision and trueness'!$AD$12)))),$O$23-2*$R$14,"")</f>
        <v>8.64</v>
      </c>
      <c r="V31" s="344"/>
      <c r="W31" s="232">
        <f>IF(OR(ISBLANK('Precision and trueness'!$Q$41),COUNT('Precision and trueness'!$M$20:$V$20)&lt;'P Calc'!$M27),NA(),'P Calc'!$M27)</f>
        <v>5</v>
      </c>
      <c r="X31" s="232">
        <f>IF(OR(ISBLANK('Precision and trueness'!$Z$10),'Precision and trueness'!$Z$7+1&lt;'P Calc'!$M27),"",'Precision and trueness'!$Z$10)</f>
        <v>10.953333333333335</v>
      </c>
      <c r="Y31" s="232">
        <f>X31+2*'Precision and trueness'!Z$19</f>
        <v>12.044459153555565</v>
      </c>
      <c r="Z31" s="232">
        <f>X31-2*'Precision and trueness'!$Z$19</f>
        <v>9.8622075131111053</v>
      </c>
      <c r="AB31" s="262"/>
      <c r="AC31" s="262"/>
    </row>
    <row r="32" spans="1:35" x14ac:dyDescent="0.2">
      <c r="A32" s="264" t="str">
        <f>+A18</f>
        <v>Evaluation</v>
      </c>
      <c r="B32" s="232" t="str">
        <f>IF('Precision and trueness'!Y19&lt;B29,D19,D18)</f>
        <v>Review !!</v>
      </c>
      <c r="C32" s="232" t="str">
        <f>IF('Precision and trueness'!Z19&lt;C29,D19,D18)</f>
        <v>Accept</v>
      </c>
      <c r="L32" s="232" t="e">
        <f>IF(ISNUMBER('Precision and trueness'!$S$20),M32,NA())</f>
        <v>#N/A</v>
      </c>
      <c r="M32" s="232">
        <v>10</v>
      </c>
      <c r="N32" s="232" t="e">
        <f>IF(OR(ISBLANK('Precision and trueness'!$Q$42),COUNT('Precision and trueness'!$M$20:$V$20)&lt;'P Calc'!$M32),NA(),'P Calc'!$M32)</f>
        <v>#N/A</v>
      </c>
      <c r="O32" s="232" t="str">
        <f>IF(OR(ISBLANK('Precision and trueness'!$AD$9),COUNT('Precision and trueness'!$M$20:$V$20)&lt;'P Calc'!$M32),"",'Precision and trueness'!$AD$9)</f>
        <v/>
      </c>
      <c r="P32" s="232">
        <f>IF(AND(ISNUMBER('Precision and trueness'!$AD$9),(OR(ISNUMBER('Precision and trueness'!$AD$10),ISNUMBER('Precision and trueness'!$AD$12)))),$O$23+2*$R$14,"")</f>
        <v>12.96</v>
      </c>
      <c r="Q32" s="232">
        <f>IF(AND(ISNUMBER('Precision and trueness'!$AD$9),(OR(ISNUMBER('Precision and trueness'!$AD$10),ISNUMBER('Precision and trueness'!$AD$12)))),$O$23-2*$R$14,"")</f>
        <v>8.64</v>
      </c>
      <c r="V32" s="344"/>
      <c r="W32" s="232" t="e">
        <f>IF(OR(ISBLANK('Precision and trueness'!$Q$41),COUNT('Precision and trueness'!$M$20:$V$20)&lt;'P Calc'!$M28),NA(),'P Calc'!$M28)</f>
        <v>#N/A</v>
      </c>
      <c r="X32" s="232" t="str">
        <f>IF(OR(ISBLANK('Precision and trueness'!$Z$10),'Precision and trueness'!$Z$7+1&lt;'P Calc'!$M28),"",'Precision and trueness'!$Z$10)</f>
        <v/>
      </c>
      <c r="Y32" s="232" t="e">
        <f>X32+2*'Precision and trueness'!Z$19</f>
        <v>#VALUE!</v>
      </c>
      <c r="Z32" s="232" t="e">
        <f>X32-2*'Precision and trueness'!$Z$19</f>
        <v>#VALUE!</v>
      </c>
      <c r="AA32" s="262"/>
      <c r="AB32" s="262"/>
    </row>
    <row r="33" spans="22:29" x14ac:dyDescent="0.2">
      <c r="V33" s="344"/>
      <c r="W33" s="232" t="e">
        <f>IF(OR(ISBLANK('Precision and trueness'!$Q$41),COUNT('Precision and trueness'!$M$20:$V$20)&lt;'P Calc'!$M29),NA(),'P Calc'!$M29)</f>
        <v>#N/A</v>
      </c>
      <c r="X33" s="232" t="str">
        <f>IF(OR(ISBLANK('Precision and trueness'!$Z$10),'Precision and trueness'!$Z$7+1&lt;'P Calc'!$M29),"",'Precision and trueness'!$Z$10)</f>
        <v/>
      </c>
      <c r="Y33" s="232" t="e">
        <f>X33+2*'Precision and trueness'!Z$19</f>
        <v>#VALUE!</v>
      </c>
      <c r="Z33" s="232" t="e">
        <f>X33-2*'Precision and trueness'!$Z$19</f>
        <v>#VALUE!</v>
      </c>
      <c r="AA33" s="262"/>
      <c r="AB33" s="262"/>
    </row>
    <row r="34" spans="22:29" x14ac:dyDescent="0.2">
      <c r="V34" s="344"/>
      <c r="W34" s="232" t="e">
        <f>IF(OR(ISBLANK('Precision and trueness'!$Q$41),COUNT('Precision and trueness'!$M$20:$V$20)&lt;'P Calc'!$M30),NA(),'P Calc'!$M30)</f>
        <v>#N/A</v>
      </c>
      <c r="X34" s="232" t="str">
        <f>IF(OR(ISBLANK('Precision and trueness'!$Z$10),'Precision and trueness'!$Z$7+1&lt;'P Calc'!$M30),"",'Precision and trueness'!$Z$10)</f>
        <v/>
      </c>
      <c r="Y34" s="232" t="e">
        <f>X34+2*'Precision and trueness'!Z$19</f>
        <v>#VALUE!</v>
      </c>
      <c r="Z34" s="232" t="e">
        <f>X34-2*'Precision and trueness'!$Z$19</f>
        <v>#VALUE!</v>
      </c>
      <c r="AA34" s="229"/>
      <c r="AB34" s="262"/>
    </row>
    <row r="35" spans="22:29" x14ac:dyDescent="0.2">
      <c r="V35" s="344"/>
      <c r="W35" s="232" t="e">
        <f>IF(OR(ISBLANK('Precision and trueness'!$Q$41),COUNT('Precision and trueness'!$M$20:$V$20)&lt;'P Calc'!$M31),NA(),'P Calc'!$M31)</f>
        <v>#N/A</v>
      </c>
      <c r="X35" s="232" t="str">
        <f>IF(OR(ISBLANK('Precision and trueness'!$Z$10),'Precision and trueness'!$Z$7+1&lt;'P Calc'!$M31),"",'Precision and trueness'!$Z$10)</f>
        <v/>
      </c>
      <c r="Y35" s="232" t="e">
        <f>X35+2*'Precision and trueness'!Z$19</f>
        <v>#VALUE!</v>
      </c>
      <c r="Z35" s="232" t="e">
        <f>X35-2*'Precision and trueness'!$Z$19</f>
        <v>#VALUE!</v>
      </c>
      <c r="AB35" s="229"/>
      <c r="AC35" s="262"/>
    </row>
    <row r="36" spans="22:29" x14ac:dyDescent="0.2">
      <c r="V36" s="344"/>
      <c r="W36" s="232" t="e">
        <f>IF(OR(ISBLANK('Precision and trueness'!$Q$41),COUNT('Precision and trueness'!$M$20:$V$20)&lt;'P Calc'!$M32),NA(),'P Calc'!$M32)</f>
        <v>#N/A</v>
      </c>
      <c r="X36" s="232" t="str">
        <f>IF(OR(ISBLANK('Precision and trueness'!$Z$10),'Precision and trueness'!$Z$7+1&lt;'P Calc'!$M32),"",'Precision and trueness'!$Z$10)</f>
        <v/>
      </c>
      <c r="Y36" s="232" t="e">
        <f>X36+2*'Precision and trueness'!Z$19</f>
        <v>#VALUE!</v>
      </c>
      <c r="Z36" s="232" t="e">
        <f>X36-2*'Precision and trueness'!$Z$19</f>
        <v>#VALUE!</v>
      </c>
      <c r="AA36" s="229"/>
      <c r="AB36" s="262"/>
    </row>
    <row r="37" spans="22:29" x14ac:dyDescent="0.2">
      <c r="W37" s="232" t="str">
        <f>'Precision and trueness'!Q41</f>
        <v>y</v>
      </c>
    </row>
    <row r="43" spans="22:29" x14ac:dyDescent="0.2">
      <c r="X43" s="229"/>
      <c r="Y43" s="262"/>
    </row>
    <row r="44" spans="22:29" x14ac:dyDescent="0.2">
      <c r="W44" s="229"/>
      <c r="X44" s="262"/>
    </row>
    <row r="45" spans="22:29" x14ac:dyDescent="0.2">
      <c r="W45" s="229"/>
      <c r="X45" s="229"/>
    </row>
    <row r="46" spans="22:29" x14ac:dyDescent="0.2">
      <c r="W46" s="229"/>
      <c r="X46" s="229"/>
    </row>
    <row r="47" spans="22:29" x14ac:dyDescent="0.2">
      <c r="W47" s="229"/>
      <c r="X47" s="229"/>
    </row>
    <row r="48" spans="22:29" x14ac:dyDescent="0.2">
      <c r="W48" s="229"/>
      <c r="X48" s="229"/>
    </row>
    <row r="49" spans="23:24" x14ac:dyDescent="0.2">
      <c r="W49" s="229"/>
      <c r="X49" s="229"/>
    </row>
    <row r="50" spans="23:24" x14ac:dyDescent="0.2">
      <c r="W50" s="229"/>
      <c r="X50" s="229"/>
    </row>
    <row r="51" spans="23:24" x14ac:dyDescent="0.2">
      <c r="W51" s="229"/>
      <c r="X51" s="229"/>
    </row>
    <row r="52" spans="23:24" x14ac:dyDescent="0.2">
      <c r="W52" s="229"/>
      <c r="X52" s="229"/>
    </row>
    <row r="53" spans="23:24" x14ac:dyDescent="0.2">
      <c r="W53" s="229"/>
      <c r="X53" s="229"/>
    </row>
    <row r="54" spans="23:24" x14ac:dyDescent="0.2">
      <c r="W54" s="229"/>
      <c r="X54" s="229"/>
    </row>
    <row r="55" spans="23:24" x14ac:dyDescent="0.2">
      <c r="W55" s="229"/>
      <c r="X55" s="229"/>
    </row>
    <row r="56" spans="23:24" x14ac:dyDescent="0.2">
      <c r="W56" s="229"/>
      <c r="X56" s="229"/>
    </row>
    <row r="57" spans="23:24" x14ac:dyDescent="0.2">
      <c r="X57" s="229"/>
    </row>
    <row r="58" spans="23:24" x14ac:dyDescent="0.2">
      <c r="X58" s="229"/>
    </row>
    <row r="59" spans="23:24" x14ac:dyDescent="0.2">
      <c r="X59" s="229"/>
    </row>
    <row r="60" spans="23:24" x14ac:dyDescent="0.2">
      <c r="X60" s="229"/>
    </row>
    <row r="61" spans="23:24" x14ac:dyDescent="0.2">
      <c r="X61" s="229"/>
    </row>
  </sheetData>
  <mergeCells count="2">
    <mergeCell ref="V17:V26"/>
    <mergeCell ref="V27:V36"/>
  </mergeCells>
  <phoneticPr fontId="0" type="noConversion"/>
  <pageMargins left="0.75" right="0.75" top="1" bottom="1" header="0.5" footer="0.5"/>
  <pageSetup paperSize="9" orientation="portrait" horizontalDpi="4294967293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"/>
  <sheetViews>
    <sheetView workbookViewId="0">
      <selection activeCell="C12" sqref="C12"/>
    </sheetView>
  </sheetViews>
  <sheetFormatPr defaultRowHeight="12.75" x14ac:dyDescent="0.2"/>
  <cols>
    <col min="1" max="1" width="9.140625" style="278"/>
    <col min="3" max="3" width="38.28515625" customWidth="1"/>
  </cols>
  <sheetData>
    <row r="2" spans="1:3" x14ac:dyDescent="0.2">
      <c r="A2" s="277" t="s">
        <v>102</v>
      </c>
      <c r="B2" s="8" t="s">
        <v>156</v>
      </c>
      <c r="C2" s="8" t="s">
        <v>157</v>
      </c>
    </row>
    <row r="3" spans="1:3" x14ac:dyDescent="0.2">
      <c r="A3" s="277" t="s">
        <v>158</v>
      </c>
      <c r="B3">
        <v>13.2</v>
      </c>
      <c r="C3" s="8" t="s">
        <v>159</v>
      </c>
    </row>
    <row r="4" spans="1:3" x14ac:dyDescent="0.2">
      <c r="C4" s="8" t="s">
        <v>160</v>
      </c>
    </row>
    <row r="5" spans="1:3" x14ac:dyDescent="0.2">
      <c r="A5" s="277" t="s">
        <v>161</v>
      </c>
      <c r="B5">
        <v>13.3</v>
      </c>
      <c r="C5" s="8" t="s">
        <v>162</v>
      </c>
    </row>
    <row r="6" spans="1:3" x14ac:dyDescent="0.2">
      <c r="C6" s="8" t="s">
        <v>163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AB47"/>
  <sheetViews>
    <sheetView tabSelected="1" zoomScale="96" zoomScaleNormal="96" workbookViewId="0">
      <selection activeCell="O11" sqref="O11:P17"/>
    </sheetView>
  </sheetViews>
  <sheetFormatPr defaultColWidth="9.140625" defaultRowHeight="12.75" x14ac:dyDescent="0.2"/>
  <cols>
    <col min="1" max="1" width="8.5703125" style="1" customWidth="1"/>
    <col min="2" max="2" width="11.5703125" style="1" customWidth="1"/>
    <col min="3" max="3" width="10.85546875" style="1" customWidth="1"/>
    <col min="4" max="5" width="11.42578125" style="1" customWidth="1"/>
    <col min="6" max="6" width="8.85546875" style="1" customWidth="1"/>
    <col min="7" max="7" width="5.28515625" style="1" customWidth="1"/>
    <col min="8" max="8" width="3.5703125" style="1" customWidth="1"/>
    <col min="9" max="9" width="9.140625" style="1"/>
    <col min="10" max="11" width="3.140625" style="1" customWidth="1"/>
    <col min="12" max="12" width="9.5703125" style="1" customWidth="1"/>
    <col min="13" max="13" width="9.140625" style="1"/>
    <col min="14" max="14" width="10" style="1" customWidth="1"/>
    <col min="15" max="16" width="11.42578125" style="1" customWidth="1"/>
    <col min="17" max="17" width="8.42578125" style="1" customWidth="1"/>
    <col min="18" max="18" width="4.5703125" style="1" customWidth="1"/>
    <col min="19" max="19" width="5.7109375" style="1" customWidth="1"/>
    <col min="20" max="16384" width="9.140625" style="1"/>
  </cols>
  <sheetData>
    <row r="1" spans="1:28" ht="30" customHeight="1" x14ac:dyDescent="0.2">
      <c r="A1" s="10"/>
      <c r="B1" s="308" t="s">
        <v>172</v>
      </c>
      <c r="C1" s="10"/>
      <c r="D1" s="10"/>
      <c r="E1" s="10"/>
      <c r="F1" s="10"/>
      <c r="G1" s="10"/>
      <c r="H1" s="10"/>
      <c r="I1" s="10"/>
      <c r="J1" s="10"/>
      <c r="K1" s="10"/>
      <c r="V1" s="9" t="s">
        <v>179</v>
      </c>
    </row>
    <row r="2" spans="1:28" ht="15.75" x14ac:dyDescent="0.25">
      <c r="A2" s="10"/>
      <c r="B2" s="10"/>
      <c r="C2" s="11" t="s">
        <v>126</v>
      </c>
      <c r="D2" s="345"/>
      <c r="E2" s="346"/>
      <c r="F2" s="10"/>
      <c r="G2" s="10"/>
      <c r="H2" s="309" t="s">
        <v>177</v>
      </c>
      <c r="I2" s="10"/>
      <c r="J2" s="15"/>
      <c r="K2" s="15"/>
      <c r="L2" s="23"/>
      <c r="M2" s="10"/>
      <c r="N2" s="11" t="s">
        <v>125</v>
      </c>
      <c r="O2" s="345"/>
      <c r="P2" s="346"/>
      <c r="V2" s="17" t="s">
        <v>1</v>
      </c>
    </row>
    <row r="3" spans="1:28" ht="15" x14ac:dyDescent="0.2">
      <c r="A3" s="10"/>
      <c r="B3" s="10"/>
      <c r="C3" s="10"/>
      <c r="D3" s="12"/>
      <c r="E3" s="12"/>
      <c r="F3" s="3" t="s">
        <v>120</v>
      </c>
      <c r="G3" s="3"/>
      <c r="I3" s="13"/>
      <c r="J3" s="15"/>
      <c r="K3" s="15"/>
      <c r="L3" s="2"/>
      <c r="M3" s="2"/>
      <c r="Q3" s="3" t="s">
        <v>120</v>
      </c>
      <c r="R3" s="366"/>
      <c r="T3" s="13"/>
      <c r="V3" s="17" t="s">
        <v>100</v>
      </c>
    </row>
    <row r="4" spans="1:28" ht="15" x14ac:dyDescent="0.2">
      <c r="A4" s="10"/>
      <c r="B4" s="10"/>
      <c r="C4" s="14" t="s">
        <v>184</v>
      </c>
      <c r="D4" s="26"/>
      <c r="E4" s="13"/>
      <c r="F4" s="13"/>
      <c r="G4" s="10"/>
      <c r="H4" s="10"/>
      <c r="I4" s="13"/>
      <c r="J4" s="15"/>
      <c r="K4" s="15"/>
      <c r="L4" s="10"/>
      <c r="M4" s="20"/>
      <c r="N4" s="14" t="s">
        <v>184</v>
      </c>
      <c r="O4" s="26"/>
      <c r="P4" s="13"/>
      <c r="Q4" s="13"/>
      <c r="R4" s="10"/>
      <c r="S4" s="10"/>
      <c r="T4" s="13"/>
      <c r="V4" s="2" t="s">
        <v>99</v>
      </c>
    </row>
    <row r="5" spans="1:28" ht="15" x14ac:dyDescent="0.2">
      <c r="A5" s="10"/>
      <c r="B5" s="10"/>
      <c r="C5" s="22" t="s">
        <v>119</v>
      </c>
      <c r="D5" s="312"/>
      <c r="E5" s="13"/>
      <c r="G5" s="20"/>
      <c r="H5" s="14" t="s">
        <v>178</v>
      </c>
      <c r="I5" s="27">
        <v>5</v>
      </c>
      <c r="J5" s="15"/>
      <c r="K5" s="15"/>
      <c r="L5" s="10"/>
      <c r="M5" s="20"/>
      <c r="N5" s="22" t="s">
        <v>119</v>
      </c>
      <c r="O5" s="312"/>
      <c r="P5" s="13"/>
      <c r="Q5" s="10"/>
      <c r="S5" s="14" t="s">
        <v>178</v>
      </c>
      <c r="T5" s="28">
        <v>5</v>
      </c>
      <c r="V5" s="287" t="s">
        <v>176</v>
      </c>
    </row>
    <row r="6" spans="1:28" ht="15" x14ac:dyDescent="0.2">
      <c r="A6" s="10"/>
      <c r="B6" s="10"/>
      <c r="C6" s="288" t="str">
        <f>IF(AND(ISNUMBER(D7),ISBLANK(D5)),"Calculated  u:","")</f>
        <v/>
      </c>
      <c r="D6" s="313" t="str">
        <f>IF(AND(ISBLANK(D5),ISBLANK(D7)),"",IF(AND(ISBLANK(D5),ISNUMBER(D7)),D7*D4/100,""))</f>
        <v/>
      </c>
      <c r="E6" s="290" t="str">
        <f>IF(ISBLANK(D2),"",IF(AND(ISNUMBER(D7),ISBLANK(D5)),D6,D5))</f>
        <v/>
      </c>
      <c r="G6" s="20"/>
      <c r="H6" s="22"/>
      <c r="I6" s="315" t="e">
        <f>(TINV(I5/(100),COUNT(D11:E20)-1))</f>
        <v>#NUM!</v>
      </c>
      <c r="J6" s="15"/>
      <c r="K6" s="15"/>
      <c r="L6" s="10"/>
      <c r="M6" s="20"/>
      <c r="N6" s="288" t="str">
        <f>IF(AND(ISNUMBER(O7),ISBLANK(O5)),"Calculated  u:","")</f>
        <v/>
      </c>
      <c r="O6" s="365" t="str">
        <f>IF(AND(ISBLANK(O5),ISBLANK(O7)),"",IF(AND(ISBLANK(O5),ISNUMBER(O7)),O7*O4/100,""))</f>
        <v/>
      </c>
      <c r="P6" s="289" t="str">
        <f>IF(ISBLANK(O2),"",IF(AND(ISNUMBER(O7),ISBLANK(O5)),O6,O5))</f>
        <v/>
      </c>
      <c r="Q6" s="10"/>
      <c r="S6" s="22"/>
      <c r="T6" s="315" t="e">
        <f>(TINV(T5/100,COUNT(O11:P20)-1))</f>
        <v>#NUM!</v>
      </c>
    </row>
    <row r="7" spans="1:28" ht="15" x14ac:dyDescent="0.2">
      <c r="A7" s="10"/>
      <c r="B7" s="10"/>
      <c r="C7" s="14" t="s">
        <v>173</v>
      </c>
      <c r="D7" s="26"/>
      <c r="E7" s="13"/>
      <c r="G7" s="20"/>
      <c r="H7" s="22"/>
      <c r="I7" s="296"/>
      <c r="J7" s="15"/>
      <c r="K7" s="15"/>
      <c r="L7" s="10"/>
      <c r="M7" s="20"/>
      <c r="N7" s="22" t="str">
        <f>C7</f>
        <v>%CV</v>
      </c>
      <c r="O7" s="26"/>
      <c r="P7" s="13"/>
      <c r="Q7" s="10"/>
      <c r="S7" s="14" t="s">
        <v>183</v>
      </c>
      <c r="T7" s="369">
        <v>0.2</v>
      </c>
    </row>
    <row r="8" spans="1:28" ht="15" x14ac:dyDescent="0.2">
      <c r="A8" s="10"/>
      <c r="B8" s="10"/>
      <c r="C8" s="22"/>
      <c r="D8" s="291" t="s">
        <v>175</v>
      </c>
      <c r="E8" s="292"/>
      <c r="F8" s="293"/>
      <c r="G8" s="294"/>
      <c r="H8" s="295"/>
      <c r="I8" s="296"/>
      <c r="J8" s="297"/>
      <c r="K8" s="297"/>
      <c r="L8" s="298"/>
      <c r="M8" s="294"/>
      <c r="N8" s="295"/>
      <c r="O8" s="299"/>
      <c r="P8" s="292"/>
      <c r="Q8" s="298"/>
      <c r="R8" s="293"/>
      <c r="S8" s="295"/>
      <c r="T8" s="300"/>
    </row>
    <row r="9" spans="1:28" ht="15" x14ac:dyDescent="0.2">
      <c r="A9" s="10"/>
      <c r="B9" s="10"/>
      <c r="C9" s="10"/>
      <c r="D9" s="10"/>
      <c r="E9" s="10"/>
      <c r="F9" s="10"/>
      <c r="G9" s="14"/>
      <c r="H9" s="13"/>
      <c r="I9" s="10"/>
      <c r="J9" s="15"/>
      <c r="K9" s="15"/>
      <c r="L9" s="10"/>
      <c r="M9" s="10"/>
      <c r="N9" s="10"/>
      <c r="O9" s="10"/>
      <c r="P9" s="10"/>
      <c r="Q9" s="10"/>
      <c r="R9" s="14"/>
      <c r="S9" s="13"/>
      <c r="T9" s="10"/>
    </row>
    <row r="10" spans="1:28" ht="30.75" thickBot="1" x14ac:dyDescent="0.25">
      <c r="A10" s="10"/>
      <c r="B10" s="25" t="s">
        <v>102</v>
      </c>
      <c r="C10" s="25" t="s">
        <v>117</v>
      </c>
      <c r="D10" s="25" t="s">
        <v>115</v>
      </c>
      <c r="E10" s="25" t="s">
        <v>116</v>
      </c>
      <c r="F10" s="16"/>
      <c r="G10" s="20"/>
      <c r="H10" s="302" t="s">
        <v>174</v>
      </c>
      <c r="I10" s="310" t="str">
        <f>IF(OR(ISBLANK(D2),COUNT(D11:E20)=0),"",AVERAGE(D11:E20))</f>
        <v/>
      </c>
      <c r="J10" s="15"/>
      <c r="K10" s="15"/>
      <c r="L10" s="10"/>
      <c r="M10" s="24" t="s">
        <v>102</v>
      </c>
      <c r="N10" s="24" t="s">
        <v>117</v>
      </c>
      <c r="O10" s="24" t="s">
        <v>115</v>
      </c>
      <c r="P10" s="24" t="s">
        <v>116</v>
      </c>
      <c r="Q10" s="16"/>
      <c r="R10" s="10"/>
      <c r="S10" s="302" t="s">
        <v>174</v>
      </c>
      <c r="T10" s="310" t="str">
        <f>IF(OR(ISBLANK(O2),COUNT(O11:P20)=0),"",AVERAGE(O11:P20))</f>
        <v/>
      </c>
      <c r="W10" s="368"/>
      <c r="X10" s="368" t="s">
        <v>181</v>
      </c>
      <c r="Y10" s="368" t="s">
        <v>182</v>
      </c>
      <c r="Z10" s="368" t="s">
        <v>180</v>
      </c>
      <c r="AA10" s="368"/>
    </row>
    <row r="11" spans="1:28" ht="15.75" thickTop="1" x14ac:dyDescent="0.2">
      <c r="A11" s="19" t="s">
        <v>128</v>
      </c>
      <c r="B11" s="30"/>
      <c r="C11" s="31"/>
      <c r="D11" s="31"/>
      <c r="E11" s="32"/>
      <c r="F11" s="16"/>
      <c r="G11" s="20"/>
      <c r="H11" s="21" t="s">
        <v>118</v>
      </c>
      <c r="I11" s="310" t="str">
        <f>IF(OR(ISBLANK(D2),COUNT(D11:E20)=0),"",STDEV(D11:E20))</f>
        <v/>
      </c>
      <c r="J11" s="2"/>
      <c r="K11" s="2"/>
      <c r="L11" s="19" t="str">
        <f>A11</f>
        <v>1.</v>
      </c>
      <c r="M11" s="30"/>
      <c r="N11" s="31"/>
      <c r="O11" s="31"/>
      <c r="P11" s="32"/>
      <c r="Q11" s="16"/>
      <c r="R11" s="10"/>
      <c r="S11" s="21" t="s">
        <v>118</v>
      </c>
      <c r="T11" s="310" t="str">
        <f>IF(OR(ISBLANK(O2),COUNT(O11:P20)=0),"",STDEV(O11:P20))</f>
        <v/>
      </c>
      <c r="W11" s="370" t="str">
        <f>IF(ISBLANK(D2),"",D2)</f>
        <v/>
      </c>
      <c r="X11" s="371" t="str">
        <f>I10</f>
        <v/>
      </c>
      <c r="Y11" s="371" t="str">
        <f>IFERROR($T$7/100*X11,"")</f>
        <v/>
      </c>
      <c r="Z11" s="371" t="str">
        <f>IF(ISBLANK(D2),"",I12)</f>
        <v/>
      </c>
      <c r="AA11" s="370"/>
    </row>
    <row r="12" spans="1:28" ht="15" x14ac:dyDescent="0.2">
      <c r="A12" s="19" t="s">
        <v>129</v>
      </c>
      <c r="B12" s="33"/>
      <c r="C12" s="34"/>
      <c r="D12" s="34"/>
      <c r="E12" s="35"/>
      <c r="F12" s="16"/>
      <c r="G12" s="20"/>
      <c r="H12" s="21" t="s">
        <v>121</v>
      </c>
      <c r="I12" s="310" t="str">
        <f>IF(OR(ISBLANK(D2),COUNT(D11:E20)=0),"",I11/SQRT(COUNT(D11:E20)))</f>
        <v/>
      </c>
      <c r="J12" s="18"/>
      <c r="K12" s="18"/>
      <c r="L12" s="19" t="str">
        <f t="shared" ref="L12:L20" si="0">A12</f>
        <v>2.</v>
      </c>
      <c r="M12" s="33"/>
      <c r="N12" s="34"/>
      <c r="O12" s="34"/>
      <c r="P12" s="35"/>
      <c r="Q12" s="16"/>
      <c r="R12" s="10"/>
      <c r="S12" s="21" t="s">
        <v>121</v>
      </c>
      <c r="T12" s="310" t="str">
        <f>IF(OR(COUNT(O11:P20)=0,ISBLANK(O2)),"",T11/SQRT(COUNT(O11:P20)))</f>
        <v/>
      </c>
      <c r="W12" s="370" t="str">
        <f>IF(ISBLANK(D2),"",D2&amp;"(r)")</f>
        <v/>
      </c>
      <c r="X12" s="370">
        <f>D4</f>
        <v>0</v>
      </c>
      <c r="Y12" s="371">
        <f t="shared" ref="Y12:Y14" si="1">IFERROR($T$7/100*X12,"")</f>
        <v>0</v>
      </c>
      <c r="Z12" s="370">
        <f>D5</f>
        <v>0</v>
      </c>
      <c r="AA12" s="370"/>
    </row>
    <row r="13" spans="1:28" ht="15.75" thickBot="1" x14ac:dyDescent="0.25">
      <c r="A13" s="19" t="s">
        <v>130</v>
      </c>
      <c r="B13" s="33"/>
      <c r="C13" s="34"/>
      <c r="D13" s="34"/>
      <c r="E13" s="35"/>
      <c r="F13" s="16"/>
      <c r="G13" s="20"/>
      <c r="H13" s="21" t="s">
        <v>0</v>
      </c>
      <c r="I13" s="318" t="str">
        <f>IF(ISBLANK(D2),"",COUNT(D11:E20))</f>
        <v/>
      </c>
      <c r="J13" s="15"/>
      <c r="K13" s="15"/>
      <c r="L13" s="19" t="str">
        <f t="shared" si="0"/>
        <v>3.</v>
      </c>
      <c r="M13" s="33"/>
      <c r="N13" s="34"/>
      <c r="O13" s="34"/>
      <c r="P13" s="35"/>
      <c r="Q13" s="16"/>
      <c r="R13" s="10"/>
      <c r="S13" s="21" t="s">
        <v>0</v>
      </c>
      <c r="T13" s="367" t="str">
        <f>IF(ISBLANK(O2),"",COUNT(O11:P20))</f>
        <v/>
      </c>
      <c r="W13" s="370" t="str">
        <f>IF(ISBLANK(O2),"",O2)</f>
        <v/>
      </c>
      <c r="X13" s="371" t="str">
        <f>T10</f>
        <v/>
      </c>
      <c r="Y13" s="371" t="str">
        <f t="shared" si="1"/>
        <v/>
      </c>
      <c r="Z13" s="371" t="str">
        <f>T12</f>
        <v/>
      </c>
      <c r="AA13" s="370"/>
    </row>
    <row r="14" spans="1:28" ht="15.75" thickBot="1" x14ac:dyDescent="0.25">
      <c r="A14" s="19" t="s">
        <v>131</v>
      </c>
      <c r="B14" s="33"/>
      <c r="C14" s="34"/>
      <c r="D14" s="34"/>
      <c r="E14" s="35"/>
      <c r="F14" s="16"/>
      <c r="G14" s="20"/>
      <c r="H14" s="302" t="s">
        <v>31</v>
      </c>
      <c r="I14" s="320" t="str">
        <f>IFERROR(I10-D4,"")</f>
        <v/>
      </c>
      <c r="J14" s="15"/>
      <c r="K14" s="15"/>
      <c r="L14" s="19" t="str">
        <f t="shared" si="0"/>
        <v>4.</v>
      </c>
      <c r="M14" s="33"/>
      <c r="N14" s="34"/>
      <c r="O14" s="34"/>
      <c r="P14" s="35"/>
      <c r="Q14" s="16"/>
      <c r="R14" s="20"/>
      <c r="S14" s="302" t="s">
        <v>31</v>
      </c>
      <c r="T14" s="320" t="str">
        <f>IFERROR(T10-O4,"")</f>
        <v/>
      </c>
      <c r="W14" s="370" t="str">
        <f>IF(ISBLANK(O2),"",O2&amp;"(r)")</f>
        <v/>
      </c>
      <c r="X14" s="370">
        <f>O4</f>
        <v>0</v>
      </c>
      <c r="Y14" s="371">
        <f t="shared" si="1"/>
        <v>0</v>
      </c>
      <c r="Z14" s="370">
        <f>O5</f>
        <v>0</v>
      </c>
      <c r="AA14" s="370"/>
    </row>
    <row r="15" spans="1:28" ht="15" x14ac:dyDescent="0.2">
      <c r="A15" s="19" t="s">
        <v>132</v>
      </c>
      <c r="B15" s="33"/>
      <c r="C15" s="34"/>
      <c r="D15" s="34"/>
      <c r="E15" s="35"/>
      <c r="F15" s="16"/>
      <c r="G15" s="20"/>
      <c r="H15" s="21" t="s">
        <v>122</v>
      </c>
      <c r="I15" s="319" t="str">
        <f>IF(ISBLANK(D2),"",IF(AND(COUNT(D11:D20)&gt;=2,COUNT(E11:E20&gt;=2),I14&lt;&gt;"missing value(s)!"),IF(OR(AND(ISNUMBER(D5),ISBLANK(D7)),AND(ISNUMBER(D5),ISNUMBER(D7))),I6*SQRT(D5^2+I12^2),IF(AND(ISBLANK(D5),ISNUMBER(D7)),I6*SQRT(I12^2+E6^2),""))))</f>
        <v/>
      </c>
      <c r="J15" s="18"/>
      <c r="K15" s="18"/>
      <c r="L15" s="19" t="str">
        <f t="shared" si="0"/>
        <v>5.</v>
      </c>
      <c r="M15" s="33"/>
      <c r="N15" s="34"/>
      <c r="O15" s="34"/>
      <c r="P15" s="35"/>
      <c r="Q15" s="16"/>
      <c r="R15" s="10"/>
      <c r="S15" s="21" t="s">
        <v>122</v>
      </c>
      <c r="T15" s="310" t="str">
        <f>IF(ISBLANK(O2),"",IF(AND(COUNT(O11:O20)&gt;=2,COUNT(P11:P20&gt;=2),T14&lt;&gt;"missing value(s)!"),IF(OR(AND(ISNUMBER(O5),ISBLANK(O7)),AND(ISNUMBER(O5),ISNUMBER(O7))),T6*SQRT(O5^2+T12^2),IF(AND(ISBLANK(O5),ISNUMBER(O7)),T6*SQRT(T12^2+P6^2),""))))</f>
        <v/>
      </c>
      <c r="W15" s="368"/>
      <c r="X15" s="370"/>
      <c r="Y15" s="370"/>
      <c r="Z15" s="370"/>
      <c r="AA15" s="370"/>
      <c r="AB15" s="370"/>
    </row>
    <row r="16" spans="1:28" ht="15" x14ac:dyDescent="0.2">
      <c r="A16" s="19" t="s">
        <v>133</v>
      </c>
      <c r="B16" s="33"/>
      <c r="C16" s="34"/>
      <c r="D16" s="34"/>
      <c r="E16" s="35"/>
      <c r="F16" s="16"/>
      <c r="G16" s="20"/>
      <c r="H16" s="21" t="s">
        <v>123</v>
      </c>
      <c r="I16" s="310" t="str">
        <f>IF(OR(ISBLANK(D2),AND(ISBLANK(D5),ISBLANK(D7))),"",IF(AND(COUNT(D11:D20)&gt;=2,COUNT(E11:E20&gt;=2),I14&lt;&gt;"missing value(s)!"),I10-I15,""))</f>
        <v/>
      </c>
      <c r="J16" s="18"/>
      <c r="K16" s="18"/>
      <c r="L16" s="19" t="str">
        <f t="shared" si="0"/>
        <v>6.</v>
      </c>
      <c r="M16" s="33"/>
      <c r="N16" s="34"/>
      <c r="O16" s="34"/>
      <c r="P16" s="35"/>
      <c r="Q16" s="16"/>
      <c r="R16" s="10"/>
      <c r="S16" s="21" t="s">
        <v>123</v>
      </c>
      <c r="T16" s="310" t="str">
        <f>IF(OR(ISBLANK(O2),AND(ISBLANK(O5),ISBLANK(O7))),"",IF(AND(COUNT(O11:O20)&gt;=2,COUNT(P11:P20&gt;=2),T14&lt;&gt;"missing value(s)!"),T10-T15,""))</f>
        <v/>
      </c>
    </row>
    <row r="17" spans="1:20" ht="15" x14ac:dyDescent="0.2">
      <c r="A17" s="19" t="s">
        <v>134</v>
      </c>
      <c r="B17" s="33"/>
      <c r="C17" s="34"/>
      <c r="D17" s="34"/>
      <c r="E17" s="35"/>
      <c r="F17" s="16"/>
      <c r="G17" s="20"/>
      <c r="H17" s="21" t="s">
        <v>124</v>
      </c>
      <c r="I17" s="310" t="str">
        <f>IF(OR(ISBLANK(D2),AND(ISBLANK(D5),ISBLANK(D7))),"",IF(AND(COUNT(D11:D20)&gt;=2,COUNT(E11:E20&gt;=2),I14&lt;&gt;"missing value(s)!"),I10+I15,""))</f>
        <v/>
      </c>
      <c r="J17" s="18"/>
      <c r="K17" s="18"/>
      <c r="L17" s="19" t="str">
        <f t="shared" si="0"/>
        <v>7.</v>
      </c>
      <c r="M17" s="33"/>
      <c r="N17" s="34"/>
      <c r="O17" s="34"/>
      <c r="P17" s="35"/>
      <c r="Q17" s="16"/>
      <c r="R17" s="10"/>
      <c r="S17" s="21" t="s">
        <v>124</v>
      </c>
      <c r="T17" s="310" t="str">
        <f>IF(OR(ISBLANK(O2),AND(ISBLANK(O5),ISBLANK(O7))),"",IF(AND(COUNT(O11:O20)&gt;=2,COUNT(P11:P20&gt;=2),T14&lt;&gt;"missing value(s)!"),T10+T15,""))</f>
        <v/>
      </c>
    </row>
    <row r="18" spans="1:20" ht="15.75" x14ac:dyDescent="0.25">
      <c r="A18" s="19" t="s">
        <v>135</v>
      </c>
      <c r="B18" s="33"/>
      <c r="C18" s="34"/>
      <c r="D18" s="34"/>
      <c r="E18" s="35"/>
      <c r="F18" s="16"/>
      <c r="G18" s="20"/>
      <c r="H18" s="21" t="s">
        <v>3</v>
      </c>
      <c r="I18" s="311" t="str">
        <f>IF(OR(ISBLANK(D2),AND(ISBLANK(D5),ISBLANK(D7)),AND(COUNT(D11:D20)&lt;2,COUNT(E11:E20&lt;2)),I14="missing value(s)!"),"",IF(AND($D$4&gt;=I16,$D$4&lt;=I17),"Accept","Reject"))</f>
        <v/>
      </c>
      <c r="J18" s="19"/>
      <c r="K18" s="19"/>
      <c r="L18" s="19" t="str">
        <f t="shared" si="0"/>
        <v>8.</v>
      </c>
      <c r="M18" s="33"/>
      <c r="N18" s="34"/>
      <c r="O18" s="34"/>
      <c r="P18" s="35"/>
      <c r="Q18" s="16"/>
      <c r="R18" s="10"/>
      <c r="S18" s="21" t="s">
        <v>3</v>
      </c>
      <c r="T18" s="311" t="str">
        <f>IF(OR(ISBLANK(O2),AND(ISBLANK(O5),ISBLANK(O7)),AND(COUNT(O11:O20)&lt;2,COUNT(P11:P20&lt;2)),T14="missing value(s)!"),"",IF(AND($O$4&gt;=T16,$O$4&lt;=T17),"Accept","Reject"))</f>
        <v/>
      </c>
    </row>
    <row r="19" spans="1:20" ht="15.75" x14ac:dyDescent="0.25">
      <c r="A19" s="19" t="s">
        <v>136</v>
      </c>
      <c r="B19" s="33"/>
      <c r="C19" s="34"/>
      <c r="D19" s="34"/>
      <c r="E19" s="35"/>
      <c r="F19" s="16"/>
      <c r="G19" s="10"/>
      <c r="H19" s="10"/>
      <c r="I19" s="29" t="str">
        <f>IF(ISBLANK(D2),"",IF(AND(I13&lt;6,OR(COUNT(D11:D20)&gt;=2,COUNT(E11:E20&gt;=2))),"Less than 6 observations",""))</f>
        <v/>
      </c>
      <c r="J19" s="15"/>
      <c r="K19" s="15"/>
      <c r="L19" s="19" t="str">
        <f t="shared" si="0"/>
        <v>9.</v>
      </c>
      <c r="M19" s="33"/>
      <c r="N19" s="34"/>
      <c r="O19" s="34"/>
      <c r="P19" s="35"/>
      <c r="Q19" s="16"/>
      <c r="R19" s="10"/>
      <c r="S19" s="20"/>
      <c r="T19" s="29" t="str">
        <f>IF(ISBLANK(O2),"",IF(AND(T13&lt;6,OR(COUNT(O11:O20)&gt;=2,COUNT(P11:P20&gt;=2))),"Less than 6 observations",""))</f>
        <v/>
      </c>
    </row>
    <row r="20" spans="1:20" ht="15" x14ac:dyDescent="0.2">
      <c r="A20" s="19" t="s">
        <v>137</v>
      </c>
      <c r="B20" s="36"/>
      <c r="C20" s="37"/>
      <c r="D20" s="37"/>
      <c r="E20" s="38"/>
      <c r="F20" s="16"/>
      <c r="G20" s="10"/>
      <c r="H20" s="10"/>
      <c r="I20" s="10"/>
      <c r="J20" s="15"/>
      <c r="K20" s="15"/>
      <c r="L20" s="19" t="str">
        <f t="shared" si="0"/>
        <v>10.</v>
      </c>
      <c r="M20" s="36"/>
      <c r="N20" s="37"/>
      <c r="O20" s="37"/>
      <c r="P20" s="38"/>
      <c r="Q20" s="16"/>
      <c r="R20" s="10"/>
      <c r="S20" s="10"/>
      <c r="T20" s="10"/>
    </row>
    <row r="21" spans="1:20" ht="15" x14ac:dyDescent="0.2">
      <c r="A21" s="302"/>
      <c r="B21" s="304"/>
      <c r="C21" s="299"/>
      <c r="D21" s="299"/>
      <c r="E21" s="299"/>
      <c r="F21" s="305"/>
      <c r="G21" s="298"/>
      <c r="H21" s="298"/>
      <c r="I21" s="298"/>
      <c r="J21" s="297"/>
      <c r="K21" s="297"/>
      <c r="L21" s="306"/>
      <c r="M21" s="299"/>
      <c r="N21" s="299"/>
      <c r="O21" s="299"/>
      <c r="P21" s="299"/>
      <c r="Q21" s="305"/>
      <c r="R21" s="10"/>
      <c r="S21" s="10"/>
      <c r="T21" s="10"/>
    </row>
    <row r="22" spans="1:20" ht="15" x14ac:dyDescent="0.2">
      <c r="A22" s="303"/>
      <c r="B22" s="307" t="s">
        <v>167</v>
      </c>
      <c r="C22" s="347"/>
      <c r="D22" s="348"/>
      <c r="E22" s="349"/>
      <c r="F22" s="16"/>
      <c r="G22" s="10"/>
      <c r="H22" s="10"/>
      <c r="I22" s="10"/>
      <c r="J22" s="15"/>
      <c r="K22" s="15"/>
      <c r="L22" s="19"/>
      <c r="M22" s="307" t="s">
        <v>167</v>
      </c>
      <c r="N22" s="347"/>
      <c r="O22" s="348"/>
      <c r="P22" s="349"/>
      <c r="Q22" s="16"/>
      <c r="R22" s="10"/>
      <c r="S22" s="10"/>
      <c r="T22" s="10"/>
    </row>
    <row r="23" spans="1:20" ht="15" x14ac:dyDescent="0.2">
      <c r="A23" s="303"/>
      <c r="B23" s="307" t="s">
        <v>168</v>
      </c>
      <c r="C23" s="350"/>
      <c r="D23" s="351"/>
      <c r="E23" s="352"/>
      <c r="F23" s="16"/>
      <c r="G23" s="10"/>
      <c r="H23" s="10"/>
      <c r="I23" s="10"/>
      <c r="J23" s="15"/>
      <c r="K23" s="15"/>
      <c r="L23" s="19"/>
      <c r="M23" s="307" t="s">
        <v>168</v>
      </c>
      <c r="N23" s="350"/>
      <c r="O23" s="351"/>
      <c r="P23" s="352"/>
      <c r="Q23" s="16"/>
      <c r="R23" s="10"/>
      <c r="S23" s="10"/>
      <c r="T23" s="10"/>
    </row>
    <row r="24" spans="1:20" ht="15" x14ac:dyDescent="0.2">
      <c r="A24" s="303"/>
      <c r="B24" s="307" t="s">
        <v>170</v>
      </c>
      <c r="C24" s="353"/>
      <c r="D24" s="354"/>
      <c r="E24" s="355"/>
      <c r="F24" s="16"/>
      <c r="G24" s="10"/>
      <c r="H24" s="10"/>
      <c r="I24" s="10"/>
      <c r="J24" s="15"/>
      <c r="K24" s="15"/>
      <c r="L24" s="19"/>
      <c r="M24" s="307" t="s">
        <v>170</v>
      </c>
      <c r="N24" s="353"/>
      <c r="O24" s="354"/>
      <c r="P24" s="355"/>
      <c r="Q24" s="16"/>
      <c r="R24" s="10"/>
      <c r="S24" s="10"/>
      <c r="T24" s="10"/>
    </row>
    <row r="25" spans="1:20" ht="15" x14ac:dyDescent="0.2">
      <c r="A25" s="303"/>
      <c r="B25" s="307" t="s">
        <v>169</v>
      </c>
      <c r="C25" s="353"/>
      <c r="D25" s="354"/>
      <c r="E25" s="355"/>
      <c r="F25" s="16"/>
      <c r="G25" s="10"/>
      <c r="H25" s="10"/>
      <c r="I25" s="10"/>
      <c r="J25" s="15"/>
      <c r="K25" s="15"/>
      <c r="L25" s="19"/>
      <c r="M25" s="307" t="s">
        <v>169</v>
      </c>
      <c r="N25" s="353"/>
      <c r="O25" s="354"/>
      <c r="P25" s="355"/>
      <c r="Q25" s="16"/>
      <c r="R25" s="10"/>
      <c r="S25" s="10"/>
      <c r="T25" s="10"/>
    </row>
    <row r="26" spans="1:20" ht="15" x14ac:dyDescent="0.2">
      <c r="A26" s="303"/>
      <c r="B26" s="307" t="s">
        <v>171</v>
      </c>
      <c r="C26" s="356"/>
      <c r="D26" s="357"/>
      <c r="E26" s="358"/>
      <c r="F26" s="16"/>
      <c r="G26" s="10"/>
      <c r="H26" s="10"/>
      <c r="I26" s="10"/>
      <c r="J26" s="15"/>
      <c r="K26" s="15"/>
      <c r="L26" s="19"/>
      <c r="M26" s="307" t="s">
        <v>171</v>
      </c>
      <c r="N26" s="356"/>
      <c r="O26" s="357"/>
      <c r="P26" s="358"/>
      <c r="Q26" s="16"/>
      <c r="R26" s="10"/>
      <c r="S26" s="10"/>
      <c r="T26" s="10"/>
    </row>
    <row r="27" spans="1:20" ht="15" x14ac:dyDescent="0.2">
      <c r="A27" s="302"/>
      <c r="B27" s="307"/>
      <c r="C27" s="359"/>
      <c r="D27" s="360"/>
      <c r="E27" s="361"/>
      <c r="F27" s="16"/>
      <c r="G27" s="10"/>
      <c r="H27" s="10"/>
      <c r="I27" s="10"/>
      <c r="J27" s="15"/>
      <c r="K27" s="15"/>
      <c r="L27" s="19"/>
      <c r="M27" s="307"/>
      <c r="N27" s="359"/>
      <c r="O27" s="360"/>
      <c r="P27" s="361"/>
      <c r="Q27" s="16"/>
      <c r="R27" s="10"/>
      <c r="S27" s="10"/>
      <c r="T27" s="10"/>
    </row>
    <row r="28" spans="1:20" ht="15" x14ac:dyDescent="0.2">
      <c r="A28" s="302"/>
      <c r="B28" s="307"/>
      <c r="C28" s="362"/>
      <c r="D28" s="363"/>
      <c r="E28" s="364"/>
      <c r="F28" s="16"/>
      <c r="G28" s="10"/>
      <c r="H28" s="10"/>
      <c r="I28" s="10"/>
      <c r="J28" s="15"/>
      <c r="K28" s="15"/>
      <c r="L28" s="19"/>
      <c r="M28" s="307"/>
      <c r="N28" s="362"/>
      <c r="O28" s="363"/>
      <c r="P28" s="364"/>
      <c r="Q28" s="16"/>
      <c r="R28" s="10"/>
      <c r="S28" s="10"/>
      <c r="T28" s="10"/>
    </row>
    <row r="29" spans="1:20" ht="15" x14ac:dyDescent="0.2">
      <c r="A29" s="10"/>
      <c r="B29" s="16"/>
      <c r="C29" s="16"/>
      <c r="D29" s="16"/>
      <c r="E29" s="40">
        <f>D11+E11+D12+E12+E14+E13+D14+E14+D15+E15+D16+E16+D17+E17+D18+E18+D19+E19+D20+E20</f>
        <v>0</v>
      </c>
      <c r="F29" s="10"/>
      <c r="G29" s="10"/>
      <c r="H29" s="10"/>
      <c r="I29" s="10"/>
      <c r="J29" s="15"/>
      <c r="K29" s="15"/>
      <c r="L29" s="2"/>
      <c r="M29" s="2"/>
      <c r="P29" s="40">
        <f>O11+P11+O12+P12+P14+P13+O14+P14+O15+P15+O16+P16+O17+P17+O18+P18+O19+P19+O20+P20</f>
        <v>0</v>
      </c>
    </row>
    <row r="30" spans="1:20" ht="15" x14ac:dyDescent="0.2">
      <c r="A30" s="10"/>
      <c r="B30" s="301" t="str">
        <f>IF(ISNUMBER($E$29),"","Invalid data entry! 'Drag-and drop' and 'Cut and paste' operations are not supported.")</f>
        <v/>
      </c>
      <c r="C30" s="16"/>
      <c r="D30" s="16"/>
      <c r="E30" s="16"/>
      <c r="G30" s="10"/>
      <c r="H30" s="10"/>
      <c r="I30" s="10"/>
      <c r="J30" s="2"/>
      <c r="K30" s="2"/>
      <c r="L30" s="2"/>
      <c r="M30" s="2"/>
      <c r="O30" s="39" t="str">
        <f>IF(ISNUMBER($P$29),"","Invalid data entry! 'Drag-and drop' and 'Cut and paste' operations are not supported.")</f>
        <v/>
      </c>
    </row>
    <row r="31" spans="1:20" ht="15" x14ac:dyDescent="0.2">
      <c r="B31" s="39" t="str">
        <f>IF(ISNUMBER($E$29),""," Press the 'Undo' button! You may 'Copy', 'Paste' and Delete', only.")</f>
        <v/>
      </c>
      <c r="C31" s="16"/>
      <c r="D31" s="16"/>
      <c r="E31" s="16"/>
      <c r="F31" s="2"/>
      <c r="G31" s="2"/>
      <c r="H31" s="2"/>
      <c r="J31" s="2"/>
      <c r="K31" s="2"/>
      <c r="L31" s="2"/>
      <c r="M31" s="2"/>
      <c r="O31" s="39" t="str">
        <f>IF(ISNUMBER($P$29),""," Press the 'Undo' button! You may 'Copy', 'Paste' and Delete', only.")</f>
        <v/>
      </c>
    </row>
    <row r="32" spans="1:20" ht="15" x14ac:dyDescent="0.2">
      <c r="C32" s="16"/>
      <c r="D32" s="16"/>
      <c r="F32" s="16"/>
      <c r="G32" s="2"/>
      <c r="H32" s="2"/>
      <c r="J32" s="2"/>
      <c r="K32" s="2"/>
      <c r="L32" s="2"/>
      <c r="M32" s="2"/>
    </row>
    <row r="33" spans="4:20" ht="15" x14ac:dyDescent="0.2">
      <c r="D33" s="16"/>
      <c r="E33" s="16"/>
      <c r="F33" s="2"/>
      <c r="G33" s="2"/>
      <c r="H33" s="2"/>
      <c r="I33" s="2"/>
      <c r="J33" s="2"/>
      <c r="K33" s="2"/>
    </row>
    <row r="34" spans="4:20" ht="15" x14ac:dyDescent="0.2">
      <c r="D34" s="16"/>
      <c r="E34" s="16"/>
      <c r="F34" s="2"/>
      <c r="G34" s="2"/>
      <c r="H34" s="2"/>
      <c r="I34" s="2"/>
      <c r="J34" s="2"/>
      <c r="K34" s="2"/>
    </row>
    <row r="35" spans="4:20" x14ac:dyDescent="0.2">
      <c r="F35" s="314"/>
      <c r="G35" s="314"/>
      <c r="H35" s="314"/>
      <c r="I35" s="314"/>
      <c r="J35" s="314"/>
      <c r="K35" s="314"/>
      <c r="L35" s="314"/>
      <c r="M35" s="314"/>
      <c r="N35" s="293"/>
      <c r="O35" s="293"/>
      <c r="P35" s="293"/>
      <c r="Q35" s="293"/>
      <c r="R35" s="293"/>
      <c r="S35" s="293"/>
      <c r="T35" s="293"/>
    </row>
    <row r="36" spans="4:20" x14ac:dyDescent="0.2">
      <c r="E36" s="2"/>
      <c r="F36" s="314"/>
      <c r="G36" s="314"/>
      <c r="H36" s="314"/>
      <c r="I36" s="314"/>
      <c r="J36" s="314"/>
      <c r="K36" s="314"/>
      <c r="L36" s="314"/>
      <c r="M36" s="314"/>
      <c r="N36" s="293"/>
      <c r="O36" s="293"/>
      <c r="P36" s="293"/>
      <c r="Q36" s="314"/>
      <c r="R36" s="314"/>
      <c r="S36" s="314"/>
      <c r="T36" s="314"/>
    </row>
    <row r="37" spans="4:20" x14ac:dyDescent="0.2">
      <c r="E37" s="2"/>
      <c r="F37" s="314"/>
      <c r="G37" s="315"/>
      <c r="H37" s="315"/>
      <c r="I37" s="314"/>
      <c r="J37" s="314"/>
      <c r="K37" s="314"/>
      <c r="L37" s="314"/>
      <c r="M37" s="314"/>
      <c r="N37" s="293"/>
      <c r="O37" s="293"/>
      <c r="P37" s="293"/>
      <c r="Q37" s="314"/>
      <c r="R37" s="314"/>
      <c r="S37" s="314"/>
      <c r="T37" s="314"/>
    </row>
    <row r="38" spans="4:20" x14ac:dyDescent="0.2">
      <c r="E38" s="2"/>
      <c r="F38" s="314"/>
      <c r="H38" s="315"/>
      <c r="I38" s="314"/>
      <c r="J38" s="314"/>
      <c r="K38" s="314"/>
      <c r="L38" s="314"/>
      <c r="M38" s="314"/>
      <c r="N38" s="316"/>
      <c r="O38" s="316"/>
      <c r="P38" s="316"/>
      <c r="Q38" s="314"/>
      <c r="S38" s="314"/>
      <c r="T38" s="314"/>
    </row>
    <row r="39" spans="4:20" x14ac:dyDescent="0.2">
      <c r="E39" s="2"/>
      <c r="F39" s="314"/>
      <c r="G39" s="315"/>
      <c r="H39" s="315"/>
      <c r="I39" s="314"/>
      <c r="J39" s="314"/>
      <c r="K39" s="314"/>
      <c r="L39" s="314"/>
      <c r="M39" s="314"/>
      <c r="N39" s="293"/>
      <c r="O39" s="293"/>
      <c r="P39" s="293"/>
      <c r="Q39" s="314"/>
      <c r="R39" s="314"/>
      <c r="S39" s="314"/>
      <c r="T39" s="314"/>
    </row>
    <row r="40" spans="4:20" x14ac:dyDescent="0.2">
      <c r="E40" s="2"/>
      <c r="F40" s="314"/>
      <c r="G40" s="314"/>
      <c r="H40" s="314"/>
      <c r="I40" s="314"/>
      <c r="J40" s="314"/>
      <c r="K40" s="314"/>
      <c r="L40" s="314"/>
      <c r="M40" s="314"/>
      <c r="N40" s="293"/>
      <c r="O40" s="293"/>
      <c r="P40" s="293"/>
      <c r="Q40" s="314"/>
      <c r="R40" s="314"/>
      <c r="S40" s="314"/>
      <c r="T40" s="314"/>
    </row>
    <row r="41" spans="4:20" x14ac:dyDescent="0.2">
      <c r="E41" s="2"/>
      <c r="F41" s="314"/>
      <c r="G41" s="314"/>
      <c r="H41" s="314"/>
      <c r="I41" s="314"/>
      <c r="J41" s="314"/>
      <c r="K41" s="314"/>
      <c r="L41" s="314"/>
      <c r="M41" s="314"/>
      <c r="N41" s="293"/>
      <c r="O41" s="293"/>
      <c r="P41" s="293"/>
      <c r="Q41" s="293"/>
      <c r="R41" s="293"/>
      <c r="S41" s="293"/>
      <c r="T41" s="293"/>
    </row>
    <row r="42" spans="4:20" x14ac:dyDescent="0.2">
      <c r="E42" s="2"/>
      <c r="F42" s="317"/>
      <c r="G42" s="317"/>
      <c r="H42" s="317"/>
      <c r="I42" s="317"/>
      <c r="J42" s="317"/>
      <c r="K42" s="317"/>
      <c r="L42" s="293"/>
      <c r="M42" s="293"/>
      <c r="N42" s="293"/>
      <c r="O42" s="293"/>
      <c r="P42" s="293"/>
      <c r="Q42" s="293"/>
      <c r="R42" s="293"/>
      <c r="S42" s="293"/>
      <c r="T42" s="293"/>
    </row>
    <row r="43" spans="4:20" x14ac:dyDescent="0.2">
      <c r="E43" s="2"/>
    </row>
    <row r="44" spans="4:20" x14ac:dyDescent="0.2">
      <c r="E44" s="2"/>
    </row>
    <row r="45" spans="4:20" x14ac:dyDescent="0.2">
      <c r="E45" s="2"/>
    </row>
    <row r="46" spans="4:20" x14ac:dyDescent="0.2">
      <c r="E46" s="2"/>
    </row>
    <row r="47" spans="4:20" x14ac:dyDescent="0.2">
      <c r="E47" s="2"/>
    </row>
  </sheetData>
  <sheetProtection password="DD51" sheet="1" scenarios="1" formatCells="0"/>
  <mergeCells count="12">
    <mergeCell ref="C26:E28"/>
    <mergeCell ref="N22:P22"/>
    <mergeCell ref="N23:P23"/>
    <mergeCell ref="N24:P24"/>
    <mergeCell ref="N25:P25"/>
    <mergeCell ref="N26:P28"/>
    <mergeCell ref="C25:E25"/>
    <mergeCell ref="D2:E2"/>
    <mergeCell ref="O2:P2"/>
    <mergeCell ref="C22:E22"/>
    <mergeCell ref="C23:E23"/>
    <mergeCell ref="C24:E24"/>
  </mergeCells>
  <phoneticPr fontId="31" type="noConversion"/>
  <dataValidations count="1">
    <dataValidation type="decimal" allowBlank="1" showInputMessage="1" showErrorMessage="1" error="Values between 0 and 100" sqref="I7:I8 I5 T5 T7:T8">
      <formula1>0</formula1>
      <formula2>100</formula2>
    </dataValidation>
  </dataValidations>
  <hyperlinks>
    <hyperlink ref="V5" r:id="rId1"/>
  </hyperlinks>
  <pageMargins left="0.47" right="0.38" top="1" bottom="1" header="0.5" footer="0.5"/>
  <pageSetup paperSize="9" scale="95" orientation="landscape" r:id="rId2"/>
  <headerFooter alignWithMargins="0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Precision and trueness</vt:lpstr>
      <vt:lpstr>P Calc</vt:lpstr>
      <vt:lpstr>Track changes</vt:lpstr>
      <vt:lpstr>Trueness, Reference material</vt:lpstr>
      <vt:lpstr>'Precision and trueness'!Print_Area</vt:lpstr>
      <vt:lpstr>'Trueness, Reference material'!Print_Area</vt:lpstr>
    </vt:vector>
  </TitlesOfParts>
  <Company>KI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Anon</cp:lastModifiedBy>
  <cp:lastPrinted>2006-11-28T14:16:43Z</cp:lastPrinted>
  <dcterms:created xsi:type="dcterms:W3CDTF">2003-03-15T09:31:47Z</dcterms:created>
  <dcterms:modified xsi:type="dcterms:W3CDTF">2018-07-21T14:11:04Z</dcterms:modified>
</cp:coreProperties>
</file>