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lke\Google Drive\Projects\ACB\Bias\EQA\"/>
    </mc:Choice>
  </mc:AlternateContent>
  <xr:revisionPtr revIDLastSave="0" documentId="8_{D2E0C37F-65B2-4FC9-9C1C-53B74C1F7CDF}" xr6:coauthVersionLast="32" xr6:coauthVersionMax="32" xr10:uidLastSave="{00000000-0000-0000-0000-000000000000}"/>
  <workbookProtection workbookPassword="DD51" lockStructure="1"/>
  <bookViews>
    <workbookView xWindow="-15" yWindow="7290" windowWidth="28830" windowHeight="7335" xr2:uid="{00000000-000D-0000-FFFF-FFFF00000000}"/>
  </bookViews>
  <sheets>
    <sheet name="Input" sheetId="1" r:id="rId1"/>
    <sheet name="Calc" sheetId="2" state="hidden" r:id="rId2"/>
  </sheets>
  <definedNames>
    <definedName name="_xlnm.Print_Area" localSheetId="0">Input!$A$1:$AD$52</definedName>
  </definedNames>
  <calcPr calcId="179017"/>
</workbook>
</file>

<file path=xl/calcChain.xml><?xml version="1.0" encoding="utf-8"?>
<calcChain xmlns="http://schemas.openxmlformats.org/spreadsheetml/2006/main">
  <c r="U20" i="1" l="1"/>
  <c r="U21" i="1"/>
  <c r="U22" i="1"/>
  <c r="U23" i="1"/>
  <c r="U24" i="1"/>
  <c r="U25" i="1"/>
  <c r="U26" i="1"/>
  <c r="U27" i="1"/>
  <c r="U28" i="1"/>
  <c r="U29" i="1"/>
  <c r="Z20" i="1" l="1"/>
  <c r="Z21" i="1"/>
  <c r="Z22" i="1"/>
  <c r="Z23" i="1"/>
  <c r="Z24" i="1"/>
  <c r="Z25" i="1"/>
  <c r="Z26" i="1"/>
  <c r="Z27" i="1"/>
  <c r="Z28" i="1"/>
  <c r="Z29" i="1"/>
  <c r="A42" i="2"/>
  <c r="Y20" i="1" l="1"/>
  <c r="Y21" i="1"/>
  <c r="Y22" i="1"/>
  <c r="Y23" i="1"/>
  <c r="Y24" i="1"/>
  <c r="Y25" i="1"/>
  <c r="Y26" i="1"/>
  <c r="Y27" i="1"/>
  <c r="Y28" i="1"/>
  <c r="Y29" i="1"/>
  <c r="Y9" i="1"/>
  <c r="A37" i="2"/>
  <c r="A33" i="2"/>
  <c r="A41" i="2"/>
  <c r="AA9" i="1"/>
  <c r="X12" i="1"/>
  <c r="X19" i="1"/>
  <c r="X14" i="1"/>
  <c r="A40" i="2" l="1"/>
  <c r="X11" i="1" l="1"/>
  <c r="X13" i="1"/>
  <c r="X15" i="1"/>
  <c r="X16" i="1"/>
  <c r="X17" i="1"/>
  <c r="X18" i="1"/>
  <c r="X20" i="1"/>
  <c r="X21" i="1"/>
  <c r="X22" i="1"/>
  <c r="X23" i="1"/>
  <c r="X24" i="1"/>
  <c r="X25" i="1"/>
  <c r="X26" i="1"/>
  <c r="X27" i="1"/>
  <c r="X28" i="1"/>
  <c r="X29" i="1"/>
  <c r="X10" i="1"/>
  <c r="AG10" i="1" s="1"/>
  <c r="F11" i="1" l="1"/>
  <c r="AA11" i="1" s="1"/>
  <c r="F12" i="1"/>
  <c r="AA12" i="1" s="1"/>
  <c r="F13" i="1"/>
  <c r="AA13" i="1" s="1"/>
  <c r="F14" i="1"/>
  <c r="AA14" i="1" s="1"/>
  <c r="F15" i="1"/>
  <c r="AA15" i="1" s="1"/>
  <c r="F16" i="1"/>
  <c r="AA16" i="1" s="1"/>
  <c r="F17" i="1"/>
  <c r="AA17" i="1" s="1"/>
  <c r="F18" i="1"/>
  <c r="AA18" i="1" s="1"/>
  <c r="F19" i="1"/>
  <c r="F20" i="1"/>
  <c r="AA20" i="1" s="1"/>
  <c r="F21" i="1"/>
  <c r="AA21" i="1" s="1"/>
  <c r="F22" i="1"/>
  <c r="AA22" i="1" s="1"/>
  <c r="F23" i="1"/>
  <c r="AA23" i="1" s="1"/>
  <c r="F24" i="1"/>
  <c r="AA24" i="1" s="1"/>
  <c r="F25" i="1"/>
  <c r="AA25" i="1" s="1"/>
  <c r="F26" i="1"/>
  <c r="AA26" i="1" s="1"/>
  <c r="F27" i="1"/>
  <c r="AA27" i="1" s="1"/>
  <c r="F28" i="1"/>
  <c r="AA28" i="1" s="1"/>
  <c r="F29" i="1"/>
  <c r="AA29" i="1" s="1"/>
  <c r="F10" i="1"/>
  <c r="AA10" i="1" s="1"/>
  <c r="Z84" i="2" l="1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Z63" i="2"/>
  <c r="Z62" i="2"/>
  <c r="Z61" i="2"/>
  <c r="Z60" i="2"/>
  <c r="Z59" i="2"/>
  <c r="Z58" i="2"/>
  <c r="Z57" i="2"/>
  <c r="Z56" i="2"/>
  <c r="Z55" i="2"/>
  <c r="Z54" i="2"/>
  <c r="J54" i="2"/>
  <c r="Z53" i="2"/>
  <c r="J53" i="2"/>
  <c r="Z52" i="2"/>
  <c r="J52" i="2"/>
  <c r="Z51" i="2"/>
  <c r="J51" i="2"/>
  <c r="Z50" i="2"/>
  <c r="J50" i="2"/>
  <c r="Z49" i="2"/>
  <c r="Z48" i="2"/>
  <c r="Z47" i="2"/>
  <c r="Z46" i="2"/>
  <c r="Z45" i="2"/>
  <c r="J45" i="2"/>
  <c r="Z44" i="2"/>
  <c r="Z43" i="2"/>
  <c r="Z42" i="2"/>
  <c r="Z41" i="2"/>
  <c r="Z40" i="2"/>
  <c r="Z39" i="2"/>
  <c r="Z38" i="2"/>
  <c r="Z37" i="2"/>
  <c r="Z36" i="2"/>
  <c r="Z35" i="2"/>
  <c r="Z34" i="2"/>
  <c r="Z33" i="2"/>
  <c r="Z32" i="2"/>
  <c r="P32" i="2"/>
  <c r="Z31" i="2"/>
  <c r="P31" i="2"/>
  <c r="Z30" i="2"/>
  <c r="P30" i="2"/>
  <c r="Z29" i="2"/>
  <c r="Z28" i="2"/>
  <c r="J28" i="2"/>
  <c r="H28" i="2"/>
  <c r="G28" i="2"/>
  <c r="Z27" i="2"/>
  <c r="J27" i="2"/>
  <c r="H27" i="2"/>
  <c r="G27" i="2"/>
  <c r="Z26" i="2"/>
  <c r="J26" i="2"/>
  <c r="H26" i="2"/>
  <c r="G26" i="2"/>
  <c r="Z25" i="2"/>
  <c r="J25" i="2"/>
  <c r="H25" i="2"/>
  <c r="G25" i="2"/>
  <c r="Z24" i="2"/>
  <c r="J24" i="2"/>
  <c r="H24" i="2"/>
  <c r="G24" i="2"/>
  <c r="Z23" i="2"/>
  <c r="G23" i="2"/>
  <c r="Z22" i="2"/>
  <c r="G22" i="2"/>
  <c r="Z21" i="2"/>
  <c r="G21" i="2"/>
  <c r="Z20" i="2"/>
  <c r="G20" i="2"/>
  <c r="Z19" i="2"/>
  <c r="J19" i="2"/>
  <c r="H19" i="2"/>
  <c r="G19" i="2"/>
  <c r="D19" i="2"/>
  <c r="Z18" i="2"/>
  <c r="G18" i="2"/>
  <c r="D18" i="2"/>
  <c r="Z17" i="2"/>
  <c r="G17" i="2"/>
  <c r="Z16" i="2"/>
  <c r="G16" i="2"/>
  <c r="Z15" i="2"/>
  <c r="G15" i="2"/>
  <c r="C15" i="2"/>
  <c r="C19" i="2" s="1"/>
  <c r="Z14" i="2"/>
  <c r="G14" i="2"/>
  <c r="C14" i="2"/>
  <c r="C18" i="2" s="1"/>
  <c r="Z13" i="2"/>
  <c r="G13" i="2"/>
  <c r="Z12" i="2"/>
  <c r="G12" i="2"/>
  <c r="Z11" i="2"/>
  <c r="G11" i="2"/>
  <c r="Z10" i="2"/>
  <c r="G10" i="2"/>
  <c r="Z9" i="2"/>
  <c r="G9" i="2"/>
  <c r="Z8" i="2"/>
  <c r="Z7" i="2"/>
  <c r="Z6" i="2"/>
  <c r="Z5" i="2"/>
  <c r="Z4" i="2"/>
  <c r="L4" i="2"/>
  <c r="M4" i="2" s="1"/>
  <c r="L3" i="2"/>
  <c r="M3" i="2" s="1"/>
  <c r="U39" i="1"/>
  <c r="AO29" i="1"/>
  <c r="AN29" i="1"/>
  <c r="AM29" i="1"/>
  <c r="AL29" i="1"/>
  <c r="AK29" i="1"/>
  <c r="AJ29" i="1"/>
  <c r="AI29" i="1"/>
  <c r="AH29" i="1"/>
  <c r="AG29" i="1"/>
  <c r="AF29" i="1"/>
  <c r="W29" i="1"/>
  <c r="AC29" i="1" s="1"/>
  <c r="V29" i="1"/>
  <c r="AB29" i="1" s="1"/>
  <c r="T29" i="1"/>
  <c r="S29" i="1"/>
  <c r="I54" i="2" s="1"/>
  <c r="H54" i="2" s="1"/>
  <c r="R29" i="1"/>
  <c r="P28" i="2" s="1"/>
  <c r="AO28" i="1"/>
  <c r="AN28" i="1"/>
  <c r="AM28" i="1"/>
  <c r="AL28" i="1"/>
  <c r="AK28" i="1"/>
  <c r="AJ28" i="1"/>
  <c r="AI28" i="1"/>
  <c r="AH28" i="1"/>
  <c r="AG28" i="1"/>
  <c r="AF28" i="1"/>
  <c r="AC28" i="1"/>
  <c r="W28" i="1"/>
  <c r="V28" i="1"/>
  <c r="AB28" i="1" s="1"/>
  <c r="T28" i="1"/>
  <c r="S28" i="1"/>
  <c r="I53" i="2" s="1"/>
  <c r="H53" i="2" s="1"/>
  <c r="R28" i="1"/>
  <c r="P27" i="2" s="1"/>
  <c r="AO27" i="1"/>
  <c r="AN27" i="1"/>
  <c r="AM27" i="1"/>
  <c r="AL27" i="1"/>
  <c r="AK27" i="1"/>
  <c r="AJ27" i="1"/>
  <c r="AI27" i="1"/>
  <c r="AH27" i="1"/>
  <c r="AG27" i="1"/>
  <c r="AF27" i="1"/>
  <c r="AB27" i="1"/>
  <c r="W27" i="1"/>
  <c r="AC27" i="1" s="1"/>
  <c r="V27" i="1"/>
  <c r="T27" i="1"/>
  <c r="S27" i="1"/>
  <c r="V26" i="2" s="1"/>
  <c r="X26" i="2" s="1"/>
  <c r="R27" i="1"/>
  <c r="L26" i="2" s="1"/>
  <c r="AO26" i="1"/>
  <c r="AN26" i="1"/>
  <c r="AM26" i="1"/>
  <c r="AL26" i="1"/>
  <c r="AK26" i="1"/>
  <c r="AJ26" i="1"/>
  <c r="AI26" i="1"/>
  <c r="AH26" i="1"/>
  <c r="AG26" i="1"/>
  <c r="AF26" i="1"/>
  <c r="AB26" i="1"/>
  <c r="W26" i="1"/>
  <c r="AC26" i="1" s="1"/>
  <c r="V26" i="1"/>
  <c r="T26" i="1"/>
  <c r="S26" i="1"/>
  <c r="R26" i="1"/>
  <c r="Q25" i="2" s="1"/>
  <c r="AO25" i="1"/>
  <c r="AN25" i="1"/>
  <c r="AM25" i="1"/>
  <c r="AL25" i="1"/>
  <c r="AK25" i="1"/>
  <c r="AJ25" i="1"/>
  <c r="AI25" i="1"/>
  <c r="AH25" i="1"/>
  <c r="AG25" i="1"/>
  <c r="AF25" i="1"/>
  <c r="AB25" i="1"/>
  <c r="W25" i="1"/>
  <c r="AC25" i="1" s="1"/>
  <c r="V25" i="1"/>
  <c r="T25" i="1"/>
  <c r="S25" i="1"/>
  <c r="U24" i="2" s="1"/>
  <c r="W24" i="2" s="1"/>
  <c r="R25" i="1"/>
  <c r="Q24" i="2" s="1"/>
  <c r="AO24" i="1"/>
  <c r="AN24" i="1"/>
  <c r="AM24" i="1"/>
  <c r="AL24" i="1"/>
  <c r="AK24" i="1"/>
  <c r="AJ24" i="1"/>
  <c r="AI24" i="1"/>
  <c r="AH24" i="1"/>
  <c r="AB24" i="1"/>
  <c r="V24" i="1"/>
  <c r="W24" i="1" s="1"/>
  <c r="AC24" i="1" s="1"/>
  <c r="T24" i="1"/>
  <c r="S24" i="1"/>
  <c r="I49" i="2" s="1"/>
  <c r="H49" i="2" s="1"/>
  <c r="R24" i="1"/>
  <c r="AO23" i="1"/>
  <c r="AN23" i="1"/>
  <c r="AM23" i="1"/>
  <c r="AL23" i="1"/>
  <c r="AK23" i="1"/>
  <c r="AJ23" i="1"/>
  <c r="AI23" i="1"/>
  <c r="AH23" i="1"/>
  <c r="T23" i="1"/>
  <c r="S23" i="1"/>
  <c r="H22" i="2" s="1"/>
  <c r="R23" i="1"/>
  <c r="O22" i="2" s="1"/>
  <c r="AO22" i="1"/>
  <c r="AN22" i="1"/>
  <c r="AM22" i="1"/>
  <c r="AL22" i="1"/>
  <c r="AK22" i="1"/>
  <c r="AJ22" i="1"/>
  <c r="AI22" i="1"/>
  <c r="AH22" i="1"/>
  <c r="T22" i="1"/>
  <c r="S22" i="1"/>
  <c r="V22" i="1" s="1"/>
  <c r="R22" i="1"/>
  <c r="O21" i="2" s="1"/>
  <c r="AO21" i="1"/>
  <c r="AN21" i="1"/>
  <c r="AM21" i="1"/>
  <c r="AL21" i="1"/>
  <c r="AK21" i="1"/>
  <c r="AJ21" i="1"/>
  <c r="AI21" i="1"/>
  <c r="AH21" i="1"/>
  <c r="T21" i="1"/>
  <c r="S21" i="1"/>
  <c r="J46" i="2" s="1"/>
  <c r="R21" i="1"/>
  <c r="AO20" i="1"/>
  <c r="AN20" i="1"/>
  <c r="AM20" i="1"/>
  <c r="AL20" i="1"/>
  <c r="AK20" i="1"/>
  <c r="AJ20" i="1"/>
  <c r="AI20" i="1"/>
  <c r="AH20" i="1"/>
  <c r="AG20" i="1"/>
  <c r="AF20" i="1"/>
  <c r="AC20" i="1"/>
  <c r="W20" i="1"/>
  <c r="V20" i="1"/>
  <c r="AB20" i="1" s="1"/>
  <c r="T20" i="1"/>
  <c r="S20" i="1"/>
  <c r="I45" i="2" s="1"/>
  <c r="H45" i="2" s="1"/>
  <c r="R20" i="1"/>
  <c r="L19" i="2" s="1"/>
  <c r="AO19" i="1"/>
  <c r="AN19" i="1"/>
  <c r="AM19" i="1"/>
  <c r="AL19" i="1"/>
  <c r="AK19" i="1"/>
  <c r="AJ19" i="1"/>
  <c r="AI19" i="1"/>
  <c r="AH19" i="1"/>
  <c r="AF19" i="1"/>
  <c r="T19" i="1"/>
  <c r="Y19" i="1" s="1"/>
  <c r="S19" i="1"/>
  <c r="U19" i="1" s="1"/>
  <c r="R19" i="1"/>
  <c r="AO18" i="1"/>
  <c r="AN18" i="1"/>
  <c r="AM18" i="1"/>
  <c r="AL18" i="1"/>
  <c r="AK18" i="1"/>
  <c r="AJ18" i="1"/>
  <c r="AI18" i="1"/>
  <c r="AH18" i="1"/>
  <c r="T18" i="1"/>
  <c r="S18" i="1"/>
  <c r="U18" i="1" s="1"/>
  <c r="R18" i="1"/>
  <c r="AO17" i="1"/>
  <c r="AN17" i="1"/>
  <c r="AM17" i="1"/>
  <c r="AL17" i="1"/>
  <c r="AK17" i="1"/>
  <c r="AJ17" i="1"/>
  <c r="AI17" i="1"/>
  <c r="AH17" i="1"/>
  <c r="T17" i="1"/>
  <c r="S17" i="1"/>
  <c r="R17" i="1"/>
  <c r="K16" i="2" s="1"/>
  <c r="AO16" i="1"/>
  <c r="AN16" i="1"/>
  <c r="AM16" i="1"/>
  <c r="AL16" i="1"/>
  <c r="AK16" i="1"/>
  <c r="AJ16" i="1"/>
  <c r="AI16" i="1"/>
  <c r="AH16" i="1"/>
  <c r="AG16" i="1"/>
  <c r="T16" i="1"/>
  <c r="S16" i="1"/>
  <c r="R16" i="1"/>
  <c r="AO15" i="1"/>
  <c r="AN15" i="1"/>
  <c r="AM15" i="1"/>
  <c r="AL15" i="1"/>
  <c r="AK15" i="1"/>
  <c r="AJ15" i="1"/>
  <c r="AI15" i="1"/>
  <c r="AH15" i="1"/>
  <c r="AF15" i="1"/>
  <c r="T15" i="1"/>
  <c r="S15" i="1"/>
  <c r="U15" i="1" s="1"/>
  <c r="R15" i="1"/>
  <c r="AO14" i="1"/>
  <c r="AN14" i="1"/>
  <c r="AM14" i="1"/>
  <c r="AL14" i="1"/>
  <c r="AK14" i="1"/>
  <c r="AJ14" i="1"/>
  <c r="AI14" i="1"/>
  <c r="AH14" i="1"/>
  <c r="T14" i="1"/>
  <c r="S14" i="1"/>
  <c r="U14" i="1" s="1"/>
  <c r="R14" i="1"/>
  <c r="AO13" i="1"/>
  <c r="AN13" i="1"/>
  <c r="AM13" i="1"/>
  <c r="AL13" i="1"/>
  <c r="AK13" i="1"/>
  <c r="AJ13" i="1"/>
  <c r="AI13" i="1"/>
  <c r="AH13" i="1"/>
  <c r="V13" i="1"/>
  <c r="T13" i="1"/>
  <c r="S13" i="1"/>
  <c r="U13" i="1" s="1"/>
  <c r="R13" i="1"/>
  <c r="O12" i="2" s="1"/>
  <c r="AO12" i="1"/>
  <c r="AN12" i="1"/>
  <c r="AM12" i="1"/>
  <c r="AL12" i="1"/>
  <c r="AK12" i="1"/>
  <c r="AJ12" i="1"/>
  <c r="AI12" i="1"/>
  <c r="AH12" i="1"/>
  <c r="T12" i="1"/>
  <c r="Y12" i="1" s="1"/>
  <c r="S12" i="1"/>
  <c r="R12" i="1"/>
  <c r="AO11" i="1"/>
  <c r="AN11" i="1"/>
  <c r="AM11" i="1"/>
  <c r="AL11" i="1"/>
  <c r="AK11" i="1"/>
  <c r="AJ11" i="1"/>
  <c r="AI11" i="1"/>
  <c r="AH11" i="1"/>
  <c r="AF11" i="1"/>
  <c r="T11" i="1"/>
  <c r="S11" i="1"/>
  <c r="U11" i="1" s="1"/>
  <c r="R11" i="1"/>
  <c r="AO10" i="1"/>
  <c r="AN10" i="1"/>
  <c r="AM10" i="1"/>
  <c r="AL10" i="1"/>
  <c r="AK10" i="1"/>
  <c r="AJ10" i="1"/>
  <c r="AI10" i="1"/>
  <c r="AH10" i="1"/>
  <c r="T10" i="1"/>
  <c r="S10" i="1"/>
  <c r="U10" i="1" s="1"/>
  <c r="R10" i="1"/>
  <c r="Y10" i="1" l="1"/>
  <c r="J41" i="2"/>
  <c r="U16" i="1"/>
  <c r="V17" i="1"/>
  <c r="W17" i="1" s="1"/>
  <c r="AC17" i="1" s="1"/>
  <c r="U17" i="1"/>
  <c r="V12" i="1"/>
  <c r="U12" i="1"/>
  <c r="Y13" i="1"/>
  <c r="Y14" i="1"/>
  <c r="Z13" i="1"/>
  <c r="Y18" i="1"/>
  <c r="Z17" i="1"/>
  <c r="Y17" i="1"/>
  <c r="Y16" i="1"/>
  <c r="Y15" i="1"/>
  <c r="Z12" i="1"/>
  <c r="Y11" i="1"/>
  <c r="V10" i="1"/>
  <c r="AG13" i="1"/>
  <c r="AG15" i="1"/>
  <c r="AT15" i="1" s="1"/>
  <c r="K24" i="2"/>
  <c r="AT26" i="1"/>
  <c r="AR25" i="1"/>
  <c r="AV20" i="1"/>
  <c r="AW25" i="1"/>
  <c r="AW26" i="1"/>
  <c r="AW27" i="1"/>
  <c r="AR29" i="1"/>
  <c r="Q28" i="2"/>
  <c r="K27" i="2"/>
  <c r="AQ26" i="1"/>
  <c r="N19" i="2"/>
  <c r="Q27" i="2"/>
  <c r="AR26" i="1"/>
  <c r="P19" i="2"/>
  <c r="L24" i="2"/>
  <c r="AS27" i="1"/>
  <c r="H23" i="2"/>
  <c r="O24" i="2"/>
  <c r="AW29" i="1"/>
  <c r="J23" i="2"/>
  <c r="AS28" i="1"/>
  <c r="J49" i="2"/>
  <c r="AV27" i="1"/>
  <c r="AU28" i="1"/>
  <c r="K28" i="2"/>
  <c r="AG12" i="1"/>
  <c r="AF13" i="1"/>
  <c r="N16" i="2"/>
  <c r="AF24" i="1"/>
  <c r="AG24" i="1"/>
  <c r="AF22" i="1"/>
  <c r="AG22" i="1"/>
  <c r="AB22" i="1"/>
  <c r="W22" i="1"/>
  <c r="AC22" i="1" s="1"/>
  <c r="AF23" i="1"/>
  <c r="J22" i="2"/>
  <c r="AG23" i="1"/>
  <c r="V23" i="1"/>
  <c r="R31" i="2"/>
  <c r="S31" i="2" s="1"/>
  <c r="H21" i="2"/>
  <c r="J47" i="2"/>
  <c r="J21" i="2"/>
  <c r="J48" i="2"/>
  <c r="AF21" i="1"/>
  <c r="AG21" i="1"/>
  <c r="V21" i="1"/>
  <c r="H20" i="2"/>
  <c r="J20" i="2"/>
  <c r="G29" i="2"/>
  <c r="V31" i="1" s="1"/>
  <c r="N23" i="2"/>
  <c r="O23" i="2"/>
  <c r="P23" i="2"/>
  <c r="AG19" i="1"/>
  <c r="AR19" i="1" s="1"/>
  <c r="AG11" i="1"/>
  <c r="AQ11" i="1" s="1"/>
  <c r="AF12" i="1"/>
  <c r="AR12" i="1" s="1"/>
  <c r="AF16" i="1"/>
  <c r="AT16" i="1" s="1"/>
  <c r="AF17" i="1"/>
  <c r="AG17" i="1"/>
  <c r="N20" i="2"/>
  <c r="C22" i="2"/>
  <c r="C21" i="2"/>
  <c r="O20" i="2"/>
  <c r="P20" i="2"/>
  <c r="U10" i="2"/>
  <c r="J10" i="2"/>
  <c r="H10" i="2"/>
  <c r="V11" i="1"/>
  <c r="Z11" i="1" s="1"/>
  <c r="J36" i="2"/>
  <c r="I36" i="2"/>
  <c r="H36" i="2" s="1"/>
  <c r="AF10" i="1"/>
  <c r="K10" i="2"/>
  <c r="L10" i="2" s="1"/>
  <c r="P10" i="2"/>
  <c r="Q10" i="2" s="1"/>
  <c r="O10" i="2"/>
  <c r="N10" i="2"/>
  <c r="AS26" i="1"/>
  <c r="AR27" i="1"/>
  <c r="AB13" i="1"/>
  <c r="W13" i="1"/>
  <c r="AC13" i="1" s="1"/>
  <c r="P14" i="2"/>
  <c r="Q14" i="2" s="1"/>
  <c r="O14" i="2"/>
  <c r="N14" i="2"/>
  <c r="K14" i="2"/>
  <c r="L14" i="2" s="1"/>
  <c r="J37" i="2"/>
  <c r="I37" i="2"/>
  <c r="H37" i="2" s="1"/>
  <c r="U11" i="2"/>
  <c r="J11" i="2"/>
  <c r="H11" i="2"/>
  <c r="I47" i="2"/>
  <c r="H47" i="2" s="1"/>
  <c r="U21" i="2"/>
  <c r="AB12" i="1"/>
  <c r="AG14" i="1"/>
  <c r="AF14" i="1"/>
  <c r="V15" i="1"/>
  <c r="Z15" i="1" s="1"/>
  <c r="J40" i="2"/>
  <c r="U14" i="2"/>
  <c r="I40" i="2"/>
  <c r="H40" i="2" s="1"/>
  <c r="J14" i="2"/>
  <c r="H14" i="2"/>
  <c r="I43" i="2"/>
  <c r="H43" i="2" s="1"/>
  <c r="U17" i="2"/>
  <c r="J17" i="2"/>
  <c r="V18" i="1"/>
  <c r="Z18" i="1" s="1"/>
  <c r="H17" i="2"/>
  <c r="J43" i="2"/>
  <c r="U22" i="2"/>
  <c r="W22" i="2" s="1"/>
  <c r="I48" i="2"/>
  <c r="H48" i="2" s="1"/>
  <c r="I51" i="2"/>
  <c r="H51" i="2" s="1"/>
  <c r="V25" i="2"/>
  <c r="X25" i="2" s="1"/>
  <c r="U25" i="2"/>
  <c r="W25" i="2" s="1"/>
  <c r="T25" i="2"/>
  <c r="S25" i="2"/>
  <c r="AT27" i="1"/>
  <c r="P9" i="2"/>
  <c r="Q9" i="2" s="1"/>
  <c r="O9" i="2"/>
  <c r="N9" i="2"/>
  <c r="K9" i="2"/>
  <c r="L9" i="2" s="1"/>
  <c r="K18" i="2"/>
  <c r="L18" i="2" s="1"/>
  <c r="P18" i="2"/>
  <c r="Q18" i="2" s="1"/>
  <c r="O18" i="2"/>
  <c r="N18" i="2"/>
  <c r="J9" i="2"/>
  <c r="J35" i="2"/>
  <c r="D15" i="2"/>
  <c r="D14" i="2"/>
  <c r="H9" i="2"/>
  <c r="C7" i="2"/>
  <c r="T21" i="2" s="1"/>
  <c r="I35" i="2"/>
  <c r="H35" i="2" s="1"/>
  <c r="C8" i="2"/>
  <c r="E32" i="1" s="1"/>
  <c r="U9" i="2"/>
  <c r="J38" i="2"/>
  <c r="I38" i="2"/>
  <c r="H38" i="2" s="1"/>
  <c r="U12" i="2"/>
  <c r="J12" i="2"/>
  <c r="H12" i="2"/>
  <c r="AQ15" i="1"/>
  <c r="AG18" i="1"/>
  <c r="AF18" i="1"/>
  <c r="U18" i="2"/>
  <c r="J18" i="2"/>
  <c r="J44" i="2"/>
  <c r="H18" i="2"/>
  <c r="I44" i="2"/>
  <c r="H44" i="2" s="1"/>
  <c r="V19" i="1"/>
  <c r="Z19" i="1" s="1"/>
  <c r="AS20" i="1"/>
  <c r="AB10" i="1"/>
  <c r="W12" i="1"/>
  <c r="AC12" i="1" s="1"/>
  <c r="J39" i="2"/>
  <c r="V14" i="1"/>
  <c r="Z14" i="1" s="1"/>
  <c r="I39" i="2"/>
  <c r="H39" i="2" s="1"/>
  <c r="U13" i="2"/>
  <c r="J13" i="2"/>
  <c r="H13" i="2"/>
  <c r="AU20" i="1"/>
  <c r="AT20" i="1"/>
  <c r="AR20" i="1"/>
  <c r="AV28" i="1"/>
  <c r="N11" i="2"/>
  <c r="P12" i="2"/>
  <c r="Q12" i="2" s="1"/>
  <c r="H15" i="2"/>
  <c r="U16" i="2"/>
  <c r="N17" i="2"/>
  <c r="P21" i="2"/>
  <c r="Q21" i="2" s="1"/>
  <c r="P22" i="2"/>
  <c r="V24" i="2"/>
  <c r="X24" i="2" s="1"/>
  <c r="N26" i="2"/>
  <c r="S27" i="2"/>
  <c r="S28" i="2"/>
  <c r="V16" i="1"/>
  <c r="Z16" i="1" s="1"/>
  <c r="AW20" i="1"/>
  <c r="AQ25" i="1"/>
  <c r="AU27" i="1"/>
  <c r="AW28" i="1"/>
  <c r="AQ29" i="1"/>
  <c r="O11" i="2"/>
  <c r="J15" i="2"/>
  <c r="L16" i="2"/>
  <c r="O17" i="2"/>
  <c r="O19" i="2"/>
  <c r="Q20" i="2"/>
  <c r="Q22" i="2"/>
  <c r="Q23" i="2"/>
  <c r="N24" i="2"/>
  <c r="O26" i="2"/>
  <c r="T27" i="2"/>
  <c r="T28" i="2"/>
  <c r="P11" i="2"/>
  <c r="Q11" i="2" s="1"/>
  <c r="K13" i="2"/>
  <c r="L13" i="2" s="1"/>
  <c r="K15" i="2"/>
  <c r="L15" i="2" s="1"/>
  <c r="U15" i="2"/>
  <c r="P17" i="2"/>
  <c r="Q17" i="2" s="1"/>
  <c r="K25" i="2"/>
  <c r="P26" i="2"/>
  <c r="U27" i="2"/>
  <c r="W27" i="2" s="1"/>
  <c r="U28" i="2"/>
  <c r="W28" i="2" s="1"/>
  <c r="AQ20" i="1"/>
  <c r="AS25" i="1"/>
  <c r="AU26" i="1"/>
  <c r="AQ28" i="1"/>
  <c r="AS29" i="1"/>
  <c r="C10" i="2"/>
  <c r="O16" i="2"/>
  <c r="Q19" i="2"/>
  <c r="T23" i="2"/>
  <c r="V23" i="2" s="1"/>
  <c r="X23" i="2" s="1"/>
  <c r="P24" i="2"/>
  <c r="L25" i="2"/>
  <c r="Q26" i="2"/>
  <c r="L27" i="2"/>
  <c r="V27" i="2"/>
  <c r="X27" i="2" s="1"/>
  <c r="L28" i="2"/>
  <c r="V28" i="2"/>
  <c r="X28" i="2" s="1"/>
  <c r="R30" i="2"/>
  <c r="G32" i="2"/>
  <c r="V32" i="1" s="1"/>
  <c r="I42" i="2"/>
  <c r="H42" i="2" s="1"/>
  <c r="I46" i="2"/>
  <c r="H46" i="2" s="1"/>
  <c r="I50" i="2"/>
  <c r="H50" i="2" s="1"/>
  <c r="I52" i="2"/>
  <c r="H52" i="2" s="1"/>
  <c r="AT25" i="1"/>
  <c r="AV26" i="1"/>
  <c r="AR28" i="1"/>
  <c r="AT29" i="1"/>
  <c r="K12" i="2"/>
  <c r="L12" i="2" s="1"/>
  <c r="N13" i="2"/>
  <c r="N15" i="2"/>
  <c r="P16" i="2"/>
  <c r="Q16" i="2" s="1"/>
  <c r="S19" i="2"/>
  <c r="K20" i="2"/>
  <c r="L20" i="2" s="1"/>
  <c r="U20" i="2"/>
  <c r="K21" i="2"/>
  <c r="K22" i="2"/>
  <c r="K23" i="2"/>
  <c r="U23" i="2"/>
  <c r="W23" i="2" s="1"/>
  <c r="N25" i="2"/>
  <c r="S26" i="2"/>
  <c r="N27" i="2"/>
  <c r="N28" i="2"/>
  <c r="J42" i="2"/>
  <c r="AU25" i="1"/>
  <c r="AQ27" i="1"/>
  <c r="AU29" i="1"/>
  <c r="O13" i="2"/>
  <c r="O15" i="2"/>
  <c r="T19" i="2"/>
  <c r="L21" i="2"/>
  <c r="L22" i="2"/>
  <c r="L23" i="2"/>
  <c r="S24" i="2"/>
  <c r="O25" i="2"/>
  <c r="T26" i="2"/>
  <c r="O27" i="2"/>
  <c r="O28" i="2"/>
  <c r="G30" i="2"/>
  <c r="AV25" i="1"/>
  <c r="AT28" i="1"/>
  <c r="AV29" i="1"/>
  <c r="K11" i="2"/>
  <c r="L11" i="2" s="1"/>
  <c r="N12" i="2"/>
  <c r="P13" i="2"/>
  <c r="Q13" i="2" s="1"/>
  <c r="P15" i="2"/>
  <c r="Q15" i="2" s="1"/>
  <c r="H16" i="2"/>
  <c r="K17" i="2"/>
  <c r="L17" i="2" s="1"/>
  <c r="K19" i="2"/>
  <c r="U19" i="2"/>
  <c r="N21" i="2"/>
  <c r="N22" i="2"/>
  <c r="T24" i="2"/>
  <c r="P25" i="2"/>
  <c r="K26" i="2"/>
  <c r="U26" i="2"/>
  <c r="W26" i="2" s="1"/>
  <c r="I41" i="2"/>
  <c r="H41" i="2" s="1"/>
  <c r="J16" i="2"/>
  <c r="V19" i="2"/>
  <c r="AQ16" i="1" l="1"/>
  <c r="AB17" i="1"/>
  <c r="AR15" i="1"/>
  <c r="AS15" i="1" s="1"/>
  <c r="AR13" i="1"/>
  <c r="W10" i="1"/>
  <c r="AC10" i="1" s="1"/>
  <c r="Z10" i="1"/>
  <c r="AQ17" i="1"/>
  <c r="AQ24" i="1"/>
  <c r="AS24" i="1" s="1"/>
  <c r="AR11" i="1"/>
  <c r="AS11" i="1" s="1"/>
  <c r="AR17" i="1"/>
  <c r="AT19" i="1"/>
  <c r="AT11" i="1"/>
  <c r="AU11" i="1" s="1"/>
  <c r="AT13" i="1"/>
  <c r="AR24" i="1"/>
  <c r="AT24" i="1"/>
  <c r="AQ21" i="1"/>
  <c r="AQ23" i="1"/>
  <c r="AT22" i="1"/>
  <c r="T31" i="2"/>
  <c r="AU24" i="1"/>
  <c r="V21" i="2"/>
  <c r="AQ13" i="1"/>
  <c r="AR16" i="1"/>
  <c r="AS16" i="1" s="1"/>
  <c r="AR22" i="1"/>
  <c r="AQ22" i="1"/>
  <c r="AS22" i="1" s="1"/>
  <c r="AR21" i="1"/>
  <c r="AS21" i="1" s="1"/>
  <c r="T20" i="2"/>
  <c r="T22" i="2"/>
  <c r="V22" i="2" s="1"/>
  <c r="X22" i="2" s="1"/>
  <c r="U31" i="2"/>
  <c r="V31" i="2" s="1"/>
  <c r="AB23" i="1"/>
  <c r="W23" i="1"/>
  <c r="AC23" i="1" s="1"/>
  <c r="AR23" i="1"/>
  <c r="AS23" i="1" s="1"/>
  <c r="AT23" i="1"/>
  <c r="AU23" i="1" s="1"/>
  <c r="V20" i="2"/>
  <c r="AT21" i="1"/>
  <c r="AU21" i="1" s="1"/>
  <c r="W21" i="1"/>
  <c r="AC21" i="1" s="1"/>
  <c r="AB21" i="1"/>
  <c r="AQ19" i="1"/>
  <c r="AT12" i="1"/>
  <c r="AT17" i="1"/>
  <c r="AQ12" i="1"/>
  <c r="AU15" i="1"/>
  <c r="AU16" i="1"/>
  <c r="T15" i="2"/>
  <c r="V15" i="2" s="1"/>
  <c r="T13" i="2"/>
  <c r="V13" i="2" s="1"/>
  <c r="T9" i="2"/>
  <c r="V9" i="2" s="1"/>
  <c r="T16" i="2"/>
  <c r="V16" i="2" s="1"/>
  <c r="AB14" i="1"/>
  <c r="W14" i="1"/>
  <c r="AC14" i="1" s="1"/>
  <c r="E24" i="2"/>
  <c r="H30" i="2"/>
  <c r="V34" i="1"/>
  <c r="C11" i="2"/>
  <c r="C34" i="1" s="1"/>
  <c r="H29" i="2"/>
  <c r="T11" i="2"/>
  <c r="V11" i="2" s="1"/>
  <c r="AB11" i="1"/>
  <c r="W11" i="1"/>
  <c r="R36" i="1"/>
  <c r="Q30" i="2"/>
  <c r="W18" i="1"/>
  <c r="AC18" i="1" s="1"/>
  <c r="AB18" i="1"/>
  <c r="U30" i="2"/>
  <c r="V30" i="2" s="1"/>
  <c r="T30" i="2"/>
  <c r="S30" i="2"/>
  <c r="W16" i="1"/>
  <c r="AC16" i="1" s="1"/>
  <c r="AB16" i="1"/>
  <c r="T18" i="2"/>
  <c r="V18" i="2" s="1"/>
  <c r="T17" i="2"/>
  <c r="V17" i="2" s="1"/>
  <c r="W15" i="1"/>
  <c r="AC15" i="1" s="1"/>
  <c r="AB15" i="1"/>
  <c r="W19" i="1"/>
  <c r="AC19" i="1" s="1"/>
  <c r="AB19" i="1"/>
  <c r="AA19" i="1"/>
  <c r="J55" i="2"/>
  <c r="J56" i="2"/>
  <c r="T10" i="2"/>
  <c r="V10" i="2" s="1"/>
  <c r="C24" i="2"/>
  <c r="AT18" i="1"/>
  <c r="AR18" i="1"/>
  <c r="AQ18" i="1"/>
  <c r="J30" i="2"/>
  <c r="J29" i="2"/>
  <c r="L29" i="2"/>
  <c r="L30" i="2"/>
  <c r="AR14" i="1"/>
  <c r="AQ14" i="1"/>
  <c r="AT14" i="1"/>
  <c r="W33" i="1"/>
  <c r="T12" i="2"/>
  <c r="V12" i="2" s="1"/>
  <c r="L38" i="2"/>
  <c r="H55" i="2"/>
  <c r="H56" i="2"/>
  <c r="M37" i="2"/>
  <c r="M38" i="2"/>
  <c r="L37" i="2"/>
  <c r="N29" i="2"/>
  <c r="N32" i="1" s="1"/>
  <c r="R46" i="1"/>
  <c r="R44" i="1"/>
  <c r="AT10" i="1"/>
  <c r="AR10" i="1"/>
  <c r="AQ10" i="1"/>
  <c r="R31" i="1"/>
  <c r="C32" i="1"/>
  <c r="D22" i="2"/>
  <c r="D21" i="2"/>
  <c r="AS12" i="1"/>
  <c r="Q31" i="2"/>
  <c r="T14" i="2"/>
  <c r="V14" i="2" s="1"/>
  <c r="R32" i="1"/>
  <c r="R33" i="1" s="1"/>
  <c r="R35" i="1" l="1"/>
  <c r="AS17" i="1"/>
  <c r="AU17" i="1"/>
  <c r="AU13" i="1"/>
  <c r="AS13" i="1"/>
  <c r="AU19" i="1"/>
  <c r="AU18" i="1"/>
  <c r="AU10" i="1"/>
  <c r="AS10" i="1"/>
  <c r="AU22" i="1"/>
  <c r="C9" i="2"/>
  <c r="D8" i="2" s="1"/>
  <c r="F32" i="1" s="1"/>
  <c r="AS19" i="1"/>
  <c r="AS18" i="1"/>
  <c r="AU12" i="1"/>
  <c r="Q32" i="2"/>
  <c r="N37" i="2"/>
  <c r="N38" i="2"/>
  <c r="AS14" i="1"/>
  <c r="V33" i="1"/>
  <c r="V35" i="1" s="1"/>
  <c r="AU14" i="1"/>
  <c r="R45" i="1"/>
  <c r="V44" i="1" s="1"/>
  <c r="Q46" i="1"/>
  <c r="M32" i="1"/>
  <c r="H3" i="2"/>
  <c r="I3" i="2"/>
  <c r="R34" i="1"/>
  <c r="H5" i="2" s="1"/>
  <c r="V36" i="1"/>
  <c r="AC11" i="1"/>
  <c r="E25" i="2"/>
  <c r="C25" i="2"/>
  <c r="B26" i="2"/>
  <c r="E26" i="2"/>
  <c r="D24" i="2"/>
  <c r="D26" i="2"/>
  <c r="C26" i="2"/>
  <c r="L31" i="2"/>
  <c r="L32" i="2" s="1"/>
  <c r="J31" i="2"/>
  <c r="N33" i="1" s="1"/>
  <c r="AG8" i="1" l="1"/>
  <c r="AV15" i="1" s="1"/>
  <c r="AW15" i="1" s="1"/>
  <c r="AV23" i="1"/>
  <c r="AW23" i="1" s="1"/>
  <c r="AV24" i="1"/>
  <c r="AW24" i="1" s="1"/>
  <c r="AV21" i="1"/>
  <c r="AW21" i="1" s="1"/>
  <c r="AV22" i="1"/>
  <c r="AW22" i="1" s="1"/>
  <c r="D7" i="2"/>
  <c r="D32" i="1" s="1"/>
  <c r="Q45" i="1"/>
  <c r="S45" i="1" s="1"/>
  <c r="Q50" i="1" s="1"/>
  <c r="R50" i="1" s="1"/>
  <c r="M33" i="1"/>
  <c r="C3" i="2"/>
  <c r="C4" i="2" s="1"/>
  <c r="C5" i="2" s="1"/>
  <c r="J32" i="2"/>
  <c r="V37" i="1" s="1"/>
  <c r="E27" i="2"/>
  <c r="D27" i="2"/>
  <c r="D25" i="2"/>
  <c r="C27" i="2"/>
  <c r="B27" i="2"/>
  <c r="R39" i="1"/>
  <c r="R38" i="1"/>
  <c r="J2" i="2"/>
  <c r="I2" i="2"/>
  <c r="H2" i="2"/>
  <c r="G2" i="2"/>
  <c r="AV14" i="1" l="1"/>
  <c r="AW14" i="1" s="1"/>
  <c r="AV16" i="1"/>
  <c r="AW16" i="1" s="1"/>
  <c r="AV11" i="1"/>
  <c r="AW11" i="1" s="1"/>
  <c r="AV12" i="1"/>
  <c r="AW12" i="1" s="1"/>
  <c r="AV13" i="1"/>
  <c r="AW13" i="1" s="1"/>
  <c r="AV17" i="1"/>
  <c r="AW17" i="1" s="1"/>
  <c r="AV10" i="1"/>
  <c r="AW10" i="1" s="1"/>
  <c r="AV19" i="1"/>
  <c r="AW19" i="1" s="1"/>
  <c r="AV18" i="1"/>
  <c r="AW18" i="1" s="1"/>
  <c r="D5" i="2"/>
  <c r="C6" i="2"/>
  <c r="E33" i="1" s="1"/>
  <c r="C33" i="1"/>
  <c r="V40" i="1"/>
  <c r="V39" i="1"/>
  <c r="Q44" i="1" l="1"/>
  <c r="S44" i="1" s="1"/>
  <c r="T44" i="1" s="1"/>
  <c r="U44" i="1" s="1"/>
  <c r="T46" i="1" s="1"/>
  <c r="S23" i="2"/>
  <c r="S20" i="2"/>
  <c r="S22" i="2"/>
  <c r="S21" i="2"/>
  <c r="S9" i="2"/>
  <c r="S13" i="2"/>
  <c r="S15" i="2"/>
  <c r="S16" i="2"/>
  <c r="D6" i="2"/>
  <c r="F33" i="1" s="1"/>
  <c r="D33" i="1"/>
  <c r="S10" i="2"/>
  <c r="S12" i="2"/>
  <c r="S18" i="2"/>
  <c r="S14" i="2"/>
  <c r="S17" i="2"/>
  <c r="S11" i="2"/>
  <c r="Q49" i="1" l="1"/>
  <c r="R49" i="1" s="1"/>
  <c r="Q51" i="1" l="1"/>
  <c r="R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Anon</author>
    <author>Anders</author>
    <author>28Z0</author>
    <author>28z0</author>
  </authors>
  <commentList>
    <comment ref="Y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Dispaly differences or not</t>
        </r>
      </text>
    </comment>
    <comment ref="Y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Display sd or not</t>
        </r>
      </text>
    </comment>
    <comment ref="AC5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If SD=N (Y5) no graph; if Peer = N then Lab data, else peer data.</t>
        </r>
      </text>
    </comment>
    <comment ref="Y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Display %CV or not</t>
        </r>
      </text>
    </comment>
    <comment ref="AC6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referes to Rel diff</t>
        </r>
      </text>
    </comment>
    <comment ref="X7" authorId="2" shapeId="0" xr:uid="{00000000-0006-0000-0000-000006000000}">
      <text>
        <r>
          <rPr>
            <b/>
            <sz val="11"/>
            <color indexed="81"/>
            <rFont val="Tahoma"/>
            <family val="2"/>
          </rPr>
          <t xml:space="preserve">B-A is the difference betrween the user average and the peer average </t>
        </r>
      </text>
    </comment>
    <comment ref="Y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Display Bland-Altmad average and 2 sd, or not</t>
        </r>
      </text>
    </comment>
    <comment ref="R31" authorId="3" shapeId="0" xr:uid="{00000000-0006-0000-0000-000008000000}">
      <text>
        <r>
          <rPr>
            <b/>
            <sz val="11"/>
            <color indexed="81"/>
            <rFont val="Tahoma"/>
            <family val="2"/>
          </rPr>
          <t>Negative values indicate a negative bias, i.e. User results are smaller than those of the peers</t>
        </r>
      </text>
    </comment>
    <comment ref="P49" authorId="2" shapeId="0" xr:uid="{00000000-0006-0000-0000-000009000000}">
      <text>
        <r>
          <rPr>
            <b/>
            <sz val="9"/>
            <color indexed="81"/>
            <rFont val="Tahoma"/>
            <family val="2"/>
          </rPr>
          <t>after correctoin for s(w) If MS(b)&lt;(ms(w) then =0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</author>
    <author>28Z0</author>
    <author>Anon</author>
  </authors>
  <commentList>
    <comment ref="B1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correlation coeff=r</t>
        </r>
      </text>
    </comment>
    <comment ref="C24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>measured - peer =B-A</t>
        </r>
      </text>
    </comment>
    <comment ref="A27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relative</t>
        </r>
      </text>
    </comment>
    <comment ref="A33" authorId="2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Produces secondary axis labels
</t>
        </r>
      </text>
    </comment>
  </commentList>
</comments>
</file>

<file path=xl/sharedStrings.xml><?xml version="1.0" encoding="utf-8"?>
<sst xmlns="http://schemas.openxmlformats.org/spreadsheetml/2006/main" count="197" uniqueCount="159">
  <si>
    <t>Mean:</t>
  </si>
  <si>
    <t>SD:</t>
  </si>
  <si>
    <t>Z-score</t>
  </si>
  <si>
    <t>Calculated</t>
  </si>
  <si>
    <t>df:</t>
  </si>
  <si>
    <t>Sample #</t>
  </si>
  <si>
    <t>Component:</t>
  </si>
  <si>
    <t>OLR</t>
  </si>
  <si>
    <t>Deming</t>
  </si>
  <si>
    <t>Deming:</t>
  </si>
  <si>
    <t>bd:</t>
  </si>
  <si>
    <t>ad:</t>
  </si>
  <si>
    <t>peer</t>
  </si>
  <si>
    <t>lab</t>
  </si>
  <si>
    <t>Diff:</t>
  </si>
  <si>
    <r>
      <t>SEM</t>
    </r>
    <r>
      <rPr>
        <vertAlign val="subscript"/>
        <sz val="11"/>
        <color indexed="10"/>
        <rFont val="Calibri"/>
        <family val="2"/>
      </rPr>
      <t>Z</t>
    </r>
  </si>
  <si>
    <t>OLR slope:</t>
  </si>
  <si>
    <t>Equal-line:</t>
  </si>
  <si>
    <t>SD mean:</t>
  </si>
  <si>
    <t>N:o of obs in group</t>
  </si>
  <si>
    <t>Abs devia-tion</t>
  </si>
  <si>
    <t>Rel 
devia
tion</t>
  </si>
  <si>
    <t>OLR intercept:</t>
  </si>
  <si>
    <t>Gauss-curve</t>
  </si>
  <si>
    <t>Pooled SD</t>
  </si>
  <si>
    <t>Input data for calc</t>
  </si>
  <si>
    <t>tdep:</t>
  </si>
  <si>
    <r>
      <t>SEM</t>
    </r>
    <r>
      <rPr>
        <vertAlign val="subscript"/>
        <sz val="11"/>
        <color indexed="10"/>
        <rFont val="Calibri"/>
        <family val="2"/>
      </rPr>
      <t>Peer</t>
    </r>
  </si>
  <si>
    <r>
      <t>SEM</t>
    </r>
    <r>
      <rPr>
        <vertAlign val="subscript"/>
        <sz val="11"/>
        <color indexed="10"/>
        <rFont val="Calibri"/>
        <family val="2"/>
      </rPr>
      <t>User</t>
    </r>
    <r>
      <rPr>
        <sz val="11"/>
        <color indexed="10"/>
        <rFont val="Calibri"/>
        <family val="2"/>
      </rPr>
      <t xml:space="preserve"> </t>
    </r>
  </si>
  <si>
    <t>Operator:</t>
  </si>
  <si>
    <t>Date:</t>
  </si>
  <si>
    <t>Reagents:</t>
  </si>
  <si>
    <t>Calibrator:</t>
  </si>
  <si>
    <t>Comments:</t>
  </si>
  <si>
    <t>Bias estimation by EQA materials</t>
  </si>
  <si>
    <t>Result  
1</t>
  </si>
  <si>
    <t>Result  
2</t>
  </si>
  <si>
    <t>Result  
3</t>
  </si>
  <si>
    <t>Result  
4</t>
  </si>
  <si>
    <t>Result  
5</t>
  </si>
  <si>
    <t>Result  
6</t>
  </si>
  <si>
    <t>Result  
7</t>
  </si>
  <si>
    <t>Result  
8</t>
  </si>
  <si>
    <t>Result  
9</t>
  </si>
  <si>
    <t>Result  
10</t>
  </si>
  <si>
    <r>
      <rPr>
        <sz val="11"/>
        <color indexed="12"/>
        <rFont val="Times New Roman"/>
        <family val="1"/>
      </rPr>
      <t>α</t>
    </r>
    <r>
      <rPr>
        <sz val="11"/>
        <color indexed="12"/>
        <rFont val="Calibri"/>
        <family val="2"/>
      </rPr>
      <t>:</t>
    </r>
  </si>
  <si>
    <r>
      <rPr>
        <sz val="11"/>
        <color indexed="12"/>
        <rFont val="Times New Roman"/>
        <family val="1"/>
      </rPr>
      <t>α</t>
    </r>
    <r>
      <rPr>
        <sz val="11"/>
        <color indexed="12"/>
        <rFont val="Calibri"/>
        <family val="2"/>
      </rPr>
      <t xml:space="preserve"> :</t>
    </r>
  </si>
  <si>
    <t>#
obs</t>
  </si>
  <si>
    <t># obs-1</t>
  </si>
  <si>
    <t>var*(#-1)</t>
  </si>
  <si>
    <t>Sum:</t>
  </si>
  <si>
    <t>Peer</t>
  </si>
  <si>
    <t>Lab</t>
  </si>
  <si>
    <t>Median</t>
  </si>
  <si>
    <t>Average</t>
  </si>
  <si>
    <t>SD peer</t>
  </si>
  <si>
    <t>peer - lab</t>
  </si>
  <si>
    <t>mean diff</t>
  </si>
  <si>
    <t>Number</t>
  </si>
  <si>
    <t>diff</t>
  </si>
  <si>
    <t>rel diff</t>
  </si>
  <si>
    <t xml:space="preserve"># obs </t>
  </si>
  <si>
    <t>Pool SD:</t>
  </si>
  <si>
    <r>
      <rPr>
        <sz val="11"/>
        <color indexed="8"/>
        <rFont val="Times New Roman"/>
        <family val="1"/>
      </rPr>
      <t>λ</t>
    </r>
    <r>
      <rPr>
        <sz val="11"/>
        <color indexed="8"/>
        <rFont val="Calibri"/>
        <family val="2"/>
      </rPr>
      <t>(varY/varX):</t>
    </r>
  </si>
  <si>
    <t>V:</t>
  </si>
  <si>
    <t>OLR:</t>
  </si>
  <si>
    <t>Intercept</t>
  </si>
  <si>
    <t>Display</t>
  </si>
  <si>
    <r>
      <t>Coeff det r</t>
    </r>
    <r>
      <rPr>
        <vertAlign val="superscript"/>
        <sz val="11"/>
        <color indexed="10"/>
        <rFont val="Calibri"/>
        <family val="2"/>
      </rPr>
      <t>2</t>
    </r>
    <r>
      <rPr>
        <sz val="11"/>
        <color indexed="10"/>
        <rFont val="Calibri"/>
        <family val="2"/>
      </rPr>
      <t>:</t>
    </r>
  </si>
  <si>
    <t>N</t>
  </si>
  <si>
    <t>Y</t>
  </si>
  <si>
    <t>Labs:</t>
  </si>
  <si>
    <t>Peers:</t>
  </si>
  <si>
    <t># labs</t>
  </si>
  <si>
    <t>Slope</t>
  </si>
  <si>
    <t>Calculated Y</t>
  </si>
  <si>
    <t>Residuals</t>
  </si>
  <si>
    <t>Allowable diff</t>
  </si>
  <si>
    <t>Allowable diff:</t>
  </si>
  <si>
    <t>Peer groups' result</t>
  </si>
  <si>
    <t>Deming residuals</t>
  </si>
  <si>
    <t>OLR residuals</t>
  </si>
  <si>
    <t>Differences</t>
  </si>
  <si>
    <t>Allowable deviation</t>
  </si>
  <si>
    <r>
      <t>t</t>
    </r>
    <r>
      <rPr>
        <vertAlign val="subscript"/>
        <sz val="14"/>
        <color indexed="10"/>
        <rFont val="Calibri"/>
        <family val="2"/>
      </rPr>
      <t>dep</t>
    </r>
    <r>
      <rPr>
        <sz val="14"/>
        <color indexed="10"/>
        <rFont val="Calibri"/>
        <family val="2"/>
      </rPr>
      <t>:</t>
    </r>
  </si>
  <si>
    <r>
      <t>t</t>
    </r>
    <r>
      <rPr>
        <vertAlign val="subscript"/>
        <sz val="14"/>
        <color indexed="10"/>
        <rFont val="Calibri"/>
        <family val="2"/>
      </rPr>
      <t>crit</t>
    </r>
    <r>
      <rPr>
        <sz val="14"/>
        <color indexed="10"/>
        <rFont val="Calibri"/>
        <family val="2"/>
      </rPr>
      <t>:</t>
    </r>
  </si>
  <si>
    <t>Licenced to "beta test"</t>
  </si>
  <si>
    <t>±u</t>
  </si>
  <si>
    <t>u</t>
  </si>
  <si>
    <t>s(y,x):</t>
  </si>
  <si>
    <t>N:o obs</t>
  </si>
  <si>
    <t>Correl:</t>
  </si>
  <si>
    <t>Mean difference:</t>
  </si>
  <si>
    <t>Mean rel difference:</t>
  </si>
  <si>
    <t>B-A limits</t>
  </si>
  <si>
    <t>B-A limits:</t>
  </si>
  <si>
    <t>k- for B-A</t>
  </si>
  <si>
    <t>SD (Y/N):</t>
  </si>
  <si>
    <t>CV% (Y/N):</t>
  </si>
  <si>
    <t>SS</t>
  </si>
  <si>
    <t>df</t>
  </si>
  <si>
    <t>MD</t>
  </si>
  <si>
    <t>ni</t>
  </si>
  <si>
    <t>xbari</t>
  </si>
  <si>
    <t>si^2</t>
  </si>
  <si>
    <t>xbari-xbar grand^2</t>
  </si>
  <si>
    <t>ANOVA</t>
  </si>
  <si>
    <t>F</t>
  </si>
  <si>
    <t>Total</t>
  </si>
  <si>
    <t>fcrit</t>
  </si>
  <si>
    <t>p-value</t>
  </si>
  <si>
    <t>Relative diff and CV% for Lab &amp; Peer  values</t>
  </si>
  <si>
    <r>
      <t>Mean z-score ±t</t>
    </r>
    <r>
      <rPr>
        <vertAlign val="subscript"/>
        <sz val="11"/>
        <color theme="1"/>
        <rFont val="Calibri"/>
        <family val="2"/>
      </rPr>
      <t>crit</t>
    </r>
    <r>
      <rPr>
        <sz val="11"/>
        <color indexed="8"/>
        <rFont val="Calibri"/>
        <family val="2"/>
      </rPr>
      <t xml:space="preserve"> x SEM</t>
    </r>
  </si>
  <si>
    <t>Analysis of variance components</t>
  </si>
  <si>
    <t>Within gr</t>
  </si>
  <si>
    <t>Betw gr</t>
  </si>
  <si>
    <t>Within</t>
  </si>
  <si>
    <t>Var</t>
  </si>
  <si>
    <t>Sd</t>
  </si>
  <si>
    <t>Weighted grand mean:</t>
  </si>
  <si>
    <t>weight</t>
  </si>
  <si>
    <t>Diff: (Lab - Peer) values</t>
  </si>
  <si>
    <t>Relative diff: (Lab - Peer)</t>
  </si>
  <si>
    <t>anders.kallner@ki.se</t>
  </si>
  <si>
    <t>x</t>
  </si>
  <si>
    <t>y</t>
  </si>
  <si>
    <t>Regr of differences</t>
  </si>
  <si>
    <t>Regr. of differences</t>
  </si>
  <si>
    <t>Differences (Lab - Peers)</t>
  </si>
  <si>
    <t>Group average</t>
  </si>
  <si>
    <r>
      <t xml:space="preserve">Average </t>
    </r>
    <r>
      <rPr>
        <sz val="11"/>
        <color indexed="10"/>
        <rFont val="Calibri"/>
        <family val="2"/>
      </rPr>
      <t>Z-score:</t>
    </r>
  </si>
  <si>
    <t>Peer goup average:</t>
  </si>
  <si>
    <t>Average user results:</t>
  </si>
  <si>
    <t>p-value (two-sided):</t>
  </si>
  <si>
    <t>SEM</t>
  </si>
  <si>
    <t>Peer group results (P)</t>
  </si>
  <si>
    <t>User results (Y)</t>
  </si>
  <si>
    <t>s(P)</t>
  </si>
  <si>
    <t>s(Y)</t>
  </si>
  <si>
    <r>
      <t>s(Z)</t>
    </r>
    <r>
      <rPr>
        <sz val="11"/>
        <color indexed="10"/>
        <rFont val="Calibri"/>
        <family val="2"/>
      </rPr>
      <t>:</t>
    </r>
  </si>
  <si>
    <t>Laboratory's average values</t>
  </si>
  <si>
    <t>Between</t>
  </si>
  <si>
    <t>Combined</t>
  </si>
  <si>
    <t>1 z-score</t>
  </si>
  <si>
    <t>ANOVA based on z-scores</t>
  </si>
  <si>
    <t>Denom:</t>
  </si>
  <si>
    <t>%CV</t>
  </si>
  <si>
    <t>Measurand</t>
  </si>
  <si>
    <t>s(P), %CV or SEM</t>
  </si>
  <si>
    <t>u(P)</t>
  </si>
  <si>
    <t>2017-11-01</t>
  </si>
  <si>
    <t>Peer SEM (N) Lab s(P) (Y)</t>
  </si>
  <si>
    <t>Calc s(P), Peers</t>
  </si>
  <si>
    <t>Rel SEM Peer (N) %CV labs (Y):</t>
  </si>
  <si>
    <t>Sample id</t>
  </si>
  <si>
    <t>s(y)</t>
  </si>
  <si>
    <t>Diff and u for Lab &amp; Peer values</t>
  </si>
  <si>
    <t xml:space="preserve">Licenced to ACB 2017 </t>
  </si>
  <si>
    <r>
      <t xml:space="preserve">Version 3.1 </t>
    </r>
    <r>
      <rPr>
        <sz val="11"/>
        <color indexed="10"/>
        <rFont val="Symbol"/>
        <family val="1"/>
        <charset val="2"/>
      </rPr>
      <t>Ó</t>
    </r>
    <r>
      <rPr>
        <sz val="11"/>
        <color indexed="10"/>
        <rFont val="Arial"/>
        <family val="2"/>
      </rPr>
      <t xml:space="preserve"> </t>
    </r>
    <r>
      <rPr>
        <sz val="9"/>
        <color indexed="10"/>
        <rFont val="Arial"/>
        <family val="2"/>
      </rPr>
      <t>Anders Kallner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</si>
</sst>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%"/>
    <numFmt numFmtId="167" formatCode="0.0000000"/>
  </numFmts>
  <fonts count="33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8"/>
      <name val="Calibri"/>
      <family val="2"/>
    </font>
    <font>
      <sz val="11"/>
      <color indexed="12"/>
      <name val="Calibri"/>
      <family val="2"/>
    </font>
    <font>
      <sz val="11"/>
      <color indexed="12"/>
      <name val="Times New Roman"/>
      <family val="1"/>
    </font>
    <font>
      <vertAlign val="subscript"/>
      <sz val="11"/>
      <color indexed="10"/>
      <name val="Calibri"/>
      <family val="2"/>
    </font>
    <font>
      <u/>
      <sz val="10"/>
      <color indexed="12"/>
      <name val="Arial"/>
      <family val="2"/>
    </font>
    <font>
      <sz val="9"/>
      <color indexed="10"/>
      <name val="Arial"/>
      <family val="2"/>
    </font>
    <font>
      <u/>
      <sz val="9"/>
      <color indexed="12"/>
      <name val="Arial"/>
      <family val="2"/>
    </font>
    <font>
      <sz val="11"/>
      <color indexed="10"/>
      <name val="Symbol"/>
      <family val="1"/>
      <charset val="2"/>
    </font>
    <font>
      <sz val="11"/>
      <color indexed="10"/>
      <name val="Arial"/>
      <family val="2"/>
    </font>
    <font>
      <sz val="11"/>
      <color indexed="8"/>
      <name val="Times New Roman"/>
      <family val="1"/>
    </font>
    <font>
      <vertAlign val="superscript"/>
      <sz val="11"/>
      <color indexed="10"/>
      <name val="Calibri"/>
      <family val="2"/>
    </font>
    <font>
      <vertAlign val="subscript"/>
      <sz val="14"/>
      <color indexed="10"/>
      <name val="Calibri"/>
      <family val="2"/>
    </font>
    <font>
      <sz val="14"/>
      <color indexed="10"/>
      <name val="Calibri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sz val="11"/>
      <color theme="1"/>
      <name val="Calibri"/>
      <family val="2"/>
    </font>
    <font>
      <sz val="11"/>
      <color theme="6" tint="0.7999816888943144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vertAlign val="subscript"/>
      <sz val="11"/>
      <color theme="1"/>
      <name val="Calibri"/>
      <family val="2"/>
    </font>
    <font>
      <sz val="11"/>
      <color rgb="FFFF717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CCFF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1DD"/>
        <bgColor indexed="64"/>
      </patternFill>
    </fill>
  </fills>
  <borders count="10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medium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FF0000"/>
      </right>
      <top/>
      <bottom/>
      <diagonal/>
    </border>
    <border>
      <left style="thin">
        <color rgb="FF0000FF"/>
      </left>
      <right style="thin">
        <color rgb="FF0000FF"/>
      </right>
      <top style="thin">
        <color rgb="FFFF0000"/>
      </top>
      <bottom/>
      <diagonal/>
    </border>
    <border>
      <left/>
      <right/>
      <top style="medium">
        <color rgb="FFFF0000"/>
      </top>
      <bottom style="double">
        <color rgb="FFFF0000"/>
      </bottom>
      <diagonal/>
    </border>
    <border>
      <left/>
      <right style="thin">
        <color rgb="FFFF0000"/>
      </right>
      <top/>
      <bottom style="medium">
        <color rgb="FFFF0000"/>
      </bottom>
      <diagonal/>
    </border>
    <border>
      <left style="thin">
        <color rgb="FF0000FF"/>
      </left>
      <right/>
      <top style="double">
        <color rgb="FF0000FF"/>
      </top>
      <bottom style="thin">
        <color rgb="FF0000FF"/>
      </bottom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/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FF0000"/>
      </left>
      <right style="thin">
        <color rgb="FF0000FF"/>
      </right>
      <top/>
      <bottom style="thin">
        <color rgb="FF0000FF"/>
      </bottom>
      <diagonal/>
    </border>
    <border>
      <left style="thin">
        <color rgb="FFFF0000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double">
        <color rgb="FF0000FF"/>
      </left>
      <right/>
      <top style="medium">
        <color rgb="FF0000FF"/>
      </top>
      <bottom style="double">
        <color rgb="FF0000FF"/>
      </bottom>
      <diagonal/>
    </border>
    <border>
      <left/>
      <right/>
      <top style="medium">
        <color rgb="FF0000FF"/>
      </top>
      <bottom style="double">
        <color rgb="FF0000FF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/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FF0000"/>
      </right>
      <top style="thin">
        <color rgb="FF0000FF"/>
      </top>
      <bottom style="medium">
        <color rgb="FF0000FF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double">
        <color rgb="FFFF0000"/>
      </bottom>
      <diagonal/>
    </border>
    <border>
      <left style="thin">
        <color rgb="FFFF0000"/>
      </left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double">
        <color rgb="FF0000FF"/>
      </right>
      <top/>
      <bottom style="thin">
        <color rgb="FF0000FF"/>
      </bottom>
      <diagonal/>
    </border>
    <border>
      <left/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/>
      <right style="double">
        <color rgb="FF0000FF"/>
      </right>
      <top style="thin">
        <color rgb="FF7030A0"/>
      </top>
      <bottom style="thin">
        <color rgb="FF7030A0"/>
      </bottom>
      <diagonal/>
    </border>
    <border>
      <left/>
      <right style="double">
        <color rgb="FF0000FF"/>
      </right>
      <top style="thin">
        <color rgb="FF7030A0"/>
      </top>
      <bottom style="medium">
        <color rgb="FF7030A0"/>
      </bottom>
      <diagonal/>
    </border>
    <border>
      <left style="medium">
        <color rgb="FF0000FF"/>
      </left>
      <right/>
      <top style="medium">
        <color rgb="FFFF0000"/>
      </top>
      <bottom style="double">
        <color rgb="FFFF0000"/>
      </bottom>
      <diagonal/>
    </border>
    <border>
      <left/>
      <right style="medium">
        <color rgb="FF0000FF"/>
      </right>
      <top style="medium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7030A0"/>
      </top>
      <bottom style="double">
        <color rgb="FF7030A0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 style="double">
        <color rgb="FF7030A0"/>
      </left>
      <right/>
      <top style="double">
        <color rgb="FF7030A0"/>
      </top>
      <bottom style="double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FF0000"/>
      </right>
      <top style="thin">
        <color rgb="FF7030A0"/>
      </top>
      <bottom style="medium">
        <color rgb="FF7030A0"/>
      </bottom>
      <diagonal/>
    </border>
    <border>
      <left style="thin">
        <color indexed="10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indexed="10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indexed="10"/>
      </left>
      <right style="double">
        <color rgb="FF0000FF"/>
      </right>
      <top/>
      <bottom style="thin">
        <color rgb="FF0000FF"/>
      </bottom>
      <diagonal/>
    </border>
    <border>
      <left style="double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indexed="10"/>
      </left>
      <right/>
      <top style="double">
        <color rgb="FFFF000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rgb="FFFF0000"/>
      </top>
      <bottom style="medium">
        <color rgb="FFFF0000"/>
      </bottom>
      <diagonal/>
    </border>
    <border>
      <left style="thin">
        <color indexed="10"/>
      </left>
      <right style="medium">
        <color indexed="10"/>
      </right>
      <top style="double">
        <color rgb="FFFF0000"/>
      </top>
      <bottom style="thin">
        <color indexed="1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17" fillId="0" borderId="0" xfId="0" applyFont="1"/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 vertical="center" wrapText="1"/>
      <protection hidden="1"/>
    </xf>
    <xf numFmtId="0" fontId="18" fillId="3" borderId="0" xfId="0" applyFont="1" applyFill="1" applyProtection="1">
      <protection hidden="1"/>
    </xf>
    <xf numFmtId="2" fontId="0" fillId="4" borderId="15" xfId="0" applyNumberFormat="1" applyFill="1" applyBorder="1" applyProtection="1">
      <protection hidden="1"/>
    </xf>
    <xf numFmtId="0" fontId="19" fillId="3" borderId="0" xfId="0" applyFont="1" applyFill="1" applyAlignment="1" applyProtection="1">
      <alignment horizontal="center"/>
      <protection hidden="1"/>
    </xf>
    <xf numFmtId="0" fontId="20" fillId="4" borderId="16" xfId="0" applyFont="1" applyFill="1" applyBorder="1" applyProtection="1">
      <protection locked="0"/>
    </xf>
    <xf numFmtId="0" fontId="20" fillId="4" borderId="17" xfId="0" applyFont="1" applyFill="1" applyBorder="1" applyProtection="1">
      <protection locked="0"/>
    </xf>
    <xf numFmtId="0" fontId="19" fillId="3" borderId="0" xfId="0" applyFont="1" applyFill="1" applyProtection="1">
      <protection hidden="1"/>
    </xf>
    <xf numFmtId="0" fontId="19" fillId="3" borderId="0" xfId="0" applyFont="1" applyFill="1" applyAlignment="1" applyProtection="1">
      <alignment horizontal="right"/>
      <protection hidden="1"/>
    </xf>
    <xf numFmtId="0" fontId="19" fillId="3" borderId="0" xfId="0" applyFont="1" applyFill="1" applyBorder="1" applyAlignment="1" applyProtection="1">
      <alignment horizontal="center"/>
      <protection hidden="1"/>
    </xf>
    <xf numFmtId="0" fontId="7" fillId="3" borderId="0" xfId="0" applyFont="1" applyFill="1" applyProtection="1">
      <protection hidden="1"/>
    </xf>
    <xf numFmtId="0" fontId="8" fillId="3" borderId="0" xfId="1" applyFont="1" applyFill="1" applyAlignment="1" applyProtection="1">
      <protection hidden="1"/>
    </xf>
    <xf numFmtId="14" fontId="7" fillId="3" borderId="0" xfId="0" quotePrefix="1" applyNumberFormat="1" applyFont="1" applyFill="1" applyProtection="1">
      <protection hidden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21" fillId="3" borderId="0" xfId="0" applyFont="1" applyFill="1" applyAlignment="1" applyProtection="1">
      <alignment horizontal="right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2" fontId="19" fillId="0" borderId="20" xfId="0" applyNumberFormat="1" applyFont="1" applyFill="1" applyBorder="1" applyProtection="1">
      <protection hidden="1"/>
    </xf>
    <xf numFmtId="164" fontId="19" fillId="0" borderId="20" xfId="0" applyNumberFormat="1" applyFont="1" applyFill="1" applyBorder="1" applyProtection="1">
      <protection hidden="1"/>
    </xf>
    <xf numFmtId="1" fontId="19" fillId="0" borderId="15" xfId="0" applyNumberFormat="1" applyFont="1" applyFill="1" applyBorder="1" applyProtection="1">
      <protection hidden="1"/>
    </xf>
    <xf numFmtId="165" fontId="19" fillId="0" borderId="20" xfId="0" applyNumberFormat="1" applyFont="1" applyFill="1" applyBorder="1" applyProtection="1">
      <protection hidden="1"/>
    </xf>
    <xf numFmtId="0" fontId="20" fillId="0" borderId="0" xfId="0" applyFont="1" applyFill="1" applyBorder="1" applyProtection="1">
      <protection locked="0"/>
    </xf>
    <xf numFmtId="0" fontId="0" fillId="0" borderId="5" xfId="0" applyBorder="1" applyAlignment="1">
      <alignment horizontal="right"/>
    </xf>
    <xf numFmtId="2" fontId="0" fillId="4" borderId="21" xfId="0" applyNumberFormat="1" applyFill="1" applyBorder="1" applyProtection="1">
      <protection hidden="1"/>
    </xf>
    <xf numFmtId="164" fontId="19" fillId="0" borderId="22" xfId="0" applyNumberFormat="1" applyFont="1" applyFill="1" applyBorder="1" applyProtection="1">
      <protection hidden="1"/>
    </xf>
    <xf numFmtId="0" fontId="19" fillId="4" borderId="23" xfId="0" applyFont="1" applyFill="1" applyBorder="1" applyAlignment="1" applyProtection="1">
      <alignment horizontal="center" vertical="center" wrapText="1"/>
      <protection hidden="1"/>
    </xf>
    <xf numFmtId="0" fontId="0" fillId="4" borderId="24" xfId="0" applyFill="1" applyBorder="1" applyProtection="1">
      <protection hidden="1"/>
    </xf>
    <xf numFmtId="0" fontId="20" fillId="4" borderId="25" xfId="0" applyFont="1" applyFill="1" applyBorder="1" applyAlignment="1" applyProtection="1">
      <alignment horizontal="right"/>
      <protection hidden="1"/>
    </xf>
    <xf numFmtId="0" fontId="20" fillId="4" borderId="26" xfId="0" applyFont="1" applyFill="1" applyBorder="1" applyAlignment="1" applyProtection="1">
      <alignment horizontal="center" vertical="center" wrapText="1"/>
      <protection hidden="1"/>
    </xf>
    <xf numFmtId="164" fontId="19" fillId="0" borderId="27" xfId="0" applyNumberFormat="1" applyFont="1" applyFill="1" applyBorder="1" applyProtection="1">
      <protection hidden="1"/>
    </xf>
    <xf numFmtId="0" fontId="19" fillId="3" borderId="0" xfId="0" applyFont="1" applyFill="1" applyAlignment="1" applyProtection="1">
      <alignment horizontal="center" wrapText="1"/>
      <protection hidden="1"/>
    </xf>
    <xf numFmtId="0" fontId="20" fillId="3" borderId="0" xfId="0" applyFont="1" applyFill="1" applyAlignment="1" applyProtection="1">
      <alignment horizontal="right"/>
      <protection hidden="1"/>
    </xf>
    <xf numFmtId="0" fontId="22" fillId="3" borderId="0" xfId="0" applyFont="1" applyFill="1" applyProtection="1">
      <protection hidden="1"/>
    </xf>
    <xf numFmtId="0" fontId="20" fillId="4" borderId="25" xfId="0" applyFont="1" applyFill="1" applyBorder="1" applyAlignment="1" applyProtection="1">
      <protection locked="0"/>
    </xf>
    <xf numFmtId="0" fontId="20" fillId="4" borderId="28" xfId="0" applyFont="1" applyFill="1" applyBorder="1" applyAlignment="1" applyProtection="1">
      <protection locked="0"/>
    </xf>
    <xf numFmtId="0" fontId="20" fillId="4" borderId="25" xfId="0" applyFont="1" applyFill="1" applyBorder="1" applyAlignment="1" applyProtection="1">
      <alignment horizontal="center"/>
      <protection locked="0"/>
    </xf>
    <xf numFmtId="0" fontId="20" fillId="4" borderId="29" xfId="0" applyFont="1" applyFill="1" applyBorder="1" applyAlignment="1" applyProtection="1">
      <protection locked="0"/>
    </xf>
    <xf numFmtId="0" fontId="20" fillId="4" borderId="0" xfId="0" applyFont="1" applyFill="1" applyBorder="1" applyAlignment="1" applyProtection="1">
      <protection locked="0"/>
    </xf>
    <xf numFmtId="0" fontId="20" fillId="4" borderId="30" xfId="0" applyFont="1" applyFill="1" applyBorder="1" applyAlignment="1" applyProtection="1">
      <protection locked="0"/>
    </xf>
    <xf numFmtId="0" fontId="20" fillId="4" borderId="16" xfId="0" applyFont="1" applyFill="1" applyBorder="1" applyAlignment="1" applyProtection="1">
      <protection locked="0"/>
    </xf>
    <xf numFmtId="0" fontId="20" fillId="4" borderId="31" xfId="0" applyFont="1" applyFill="1" applyBorder="1" applyAlignment="1" applyProtection="1">
      <protection locked="0"/>
    </xf>
    <xf numFmtId="0" fontId="20" fillId="4" borderId="32" xfId="0" applyFont="1" applyFill="1" applyBorder="1" applyAlignment="1" applyProtection="1">
      <protection locked="0"/>
    </xf>
    <xf numFmtId="0" fontId="20" fillId="4" borderId="25" xfId="0" applyFont="1" applyFill="1" applyBorder="1" applyProtection="1">
      <protection locked="0"/>
    </xf>
    <xf numFmtId="0" fontId="20" fillId="4" borderId="33" xfId="0" applyFont="1" applyFill="1" applyBorder="1" applyProtection="1">
      <protection locked="0"/>
    </xf>
    <xf numFmtId="166" fontId="20" fillId="0" borderId="34" xfId="0" applyNumberFormat="1" applyFont="1" applyFill="1" applyBorder="1" applyProtection="1">
      <protection locked="0"/>
    </xf>
    <xf numFmtId="0" fontId="3" fillId="3" borderId="0" xfId="0" applyFont="1" applyFill="1" applyAlignment="1" applyProtection="1">
      <alignment horizontal="right"/>
      <protection hidden="1"/>
    </xf>
    <xf numFmtId="166" fontId="20" fillId="0" borderId="35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/>
    <xf numFmtId="0" fontId="19" fillId="4" borderId="37" xfId="0" applyFont="1" applyFill="1" applyBorder="1" applyAlignment="1" applyProtection="1">
      <alignment horizontal="center" vertical="center" wrapText="1"/>
      <protection hidden="1"/>
    </xf>
    <xf numFmtId="0" fontId="20" fillId="4" borderId="38" xfId="0" applyFont="1" applyFill="1" applyBorder="1" applyAlignment="1" applyProtection="1">
      <alignment horizontal="center" vertical="center" wrapText="1"/>
      <protection hidden="1"/>
    </xf>
    <xf numFmtId="0" fontId="19" fillId="3" borderId="39" xfId="0" applyFont="1" applyFill="1" applyBorder="1" applyAlignment="1" applyProtection="1">
      <alignment horizontal="right"/>
      <protection hidden="1"/>
    </xf>
    <xf numFmtId="0" fontId="19" fillId="4" borderId="40" xfId="0" applyFont="1" applyFill="1" applyBorder="1" applyAlignment="1" applyProtection="1">
      <alignment horizontal="center" vertical="center" wrapText="1"/>
      <protection hidden="1"/>
    </xf>
    <xf numFmtId="0" fontId="19" fillId="4" borderId="41" xfId="0" applyFont="1" applyFill="1" applyBorder="1" applyAlignment="1" applyProtection="1">
      <alignment horizontal="center"/>
      <protection hidden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7" fillId="0" borderId="0" xfId="0" applyFont="1" applyAlignment="1">
      <alignment horizontal="right"/>
    </xf>
    <xf numFmtId="0" fontId="19" fillId="4" borderId="19" xfId="0" applyFont="1" applyFill="1" applyBorder="1" applyAlignment="1" applyProtection="1">
      <alignment horizontal="right"/>
      <protection hidden="1"/>
    </xf>
    <xf numFmtId="2" fontId="0" fillId="3" borderId="0" xfId="0" applyNumberFormat="1" applyFill="1" applyBorder="1" applyProtection="1">
      <protection hidden="1"/>
    </xf>
    <xf numFmtId="2" fontId="19" fillId="0" borderId="43" xfId="0" applyNumberFormat="1" applyFont="1" applyFill="1" applyBorder="1" applyProtection="1">
      <protection hidden="1"/>
    </xf>
    <xf numFmtId="0" fontId="20" fillId="4" borderId="44" xfId="0" applyFont="1" applyFill="1" applyBorder="1" applyAlignment="1" applyProtection="1">
      <alignment horizontal="center" vertical="center" wrapText="1"/>
      <protection hidden="1"/>
    </xf>
    <xf numFmtId="0" fontId="20" fillId="4" borderId="45" xfId="0" applyFont="1" applyFill="1" applyBorder="1" applyProtection="1">
      <protection locked="0"/>
    </xf>
    <xf numFmtId="0" fontId="20" fillId="4" borderId="46" xfId="0" applyFont="1" applyFill="1" applyBorder="1" applyProtection="1">
      <protection locked="0"/>
    </xf>
    <xf numFmtId="0" fontId="19" fillId="3" borderId="0" xfId="0" applyFont="1" applyFill="1" applyBorder="1" applyProtection="1">
      <protection hidden="1"/>
    </xf>
    <xf numFmtId="0" fontId="20" fillId="4" borderId="33" xfId="0" applyFont="1" applyFill="1" applyBorder="1" applyAlignment="1" applyProtection="1">
      <alignment horizontal="center"/>
      <protection locked="0"/>
    </xf>
    <xf numFmtId="0" fontId="20" fillId="4" borderId="26" xfId="0" applyFont="1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/>
    <xf numFmtId="2" fontId="0" fillId="0" borderId="0" xfId="0" applyNumberFormat="1"/>
    <xf numFmtId="0" fontId="19" fillId="4" borderId="19" xfId="0" applyFont="1" applyFill="1" applyBorder="1" applyAlignment="1" applyProtection="1">
      <alignment horizontal="right" wrapText="1"/>
      <protection hidden="1"/>
    </xf>
    <xf numFmtId="0" fontId="23" fillId="4" borderId="48" xfId="0" applyFont="1" applyFill="1" applyBorder="1" applyProtection="1">
      <protection locked="0"/>
    </xf>
    <xf numFmtId="0" fontId="23" fillId="4" borderId="49" xfId="0" applyFont="1" applyFill="1" applyBorder="1" applyProtection="1">
      <protection locked="0"/>
    </xf>
    <xf numFmtId="0" fontId="23" fillId="4" borderId="50" xfId="0" applyFont="1" applyFill="1" applyBorder="1" applyAlignment="1" applyProtection="1">
      <alignment horizontal="center" vertical="center" wrapText="1"/>
      <protection hidden="1"/>
    </xf>
    <xf numFmtId="164" fontId="19" fillId="4" borderId="18" xfId="0" applyNumberFormat="1" applyFont="1" applyFill="1" applyBorder="1" applyProtection="1">
      <protection hidden="1"/>
    </xf>
    <xf numFmtId="0" fontId="19" fillId="4" borderId="51" xfId="0" applyFont="1" applyFill="1" applyBorder="1" applyAlignment="1" applyProtection="1">
      <alignment horizontal="center"/>
      <protection hidden="1"/>
    </xf>
    <xf numFmtId="0" fontId="19" fillId="0" borderId="0" xfId="0" applyFont="1"/>
    <xf numFmtId="0" fontId="20" fillId="0" borderId="0" xfId="0" applyFont="1"/>
    <xf numFmtId="0" fontId="0" fillId="0" borderId="8" xfId="0" applyBorder="1" applyAlignment="1">
      <alignment horizontal="center"/>
    </xf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0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9" xfId="0" applyNumberFormat="1" applyBorder="1"/>
    <xf numFmtId="0" fontId="0" fillId="0" borderId="0" xfId="0" applyBorder="1" applyAlignment="1">
      <alignment horizontal="center"/>
    </xf>
    <xf numFmtId="2" fontId="20" fillId="0" borderId="2" xfId="0" applyNumberFormat="1" applyFont="1" applyFill="1" applyBorder="1" applyProtection="1">
      <protection locked="0"/>
    </xf>
    <xf numFmtId="2" fontId="20" fillId="0" borderId="5" xfId="0" applyNumberFormat="1" applyFont="1" applyFill="1" applyBorder="1" applyProtection="1">
      <protection locked="0"/>
    </xf>
    <xf numFmtId="2" fontId="0" fillId="0" borderId="12" xfId="0" applyNumberFormat="1" applyBorder="1"/>
    <xf numFmtId="2" fontId="20" fillId="0" borderId="7" xfId="0" applyNumberFormat="1" applyFont="1" applyFill="1" applyBorder="1" applyProtection="1">
      <protection locked="0"/>
    </xf>
    <xf numFmtId="0" fontId="20" fillId="4" borderId="33" xfId="0" applyFont="1" applyFill="1" applyBorder="1" applyAlignment="1" applyProtection="1">
      <alignment horizontal="right"/>
      <protection hidden="1"/>
    </xf>
    <xf numFmtId="166" fontId="20" fillId="4" borderId="33" xfId="0" applyNumberFormat="1" applyFont="1" applyFill="1" applyBorder="1" applyProtection="1">
      <protection locked="0"/>
    </xf>
    <xf numFmtId="165" fontId="0" fillId="0" borderId="7" xfId="0" applyNumberFormat="1" applyBorder="1"/>
    <xf numFmtId="0" fontId="24" fillId="3" borderId="0" xfId="0" applyFont="1" applyFill="1" applyAlignment="1" applyProtection="1">
      <alignment horizontal="right" vertical="center"/>
      <protection hidden="1"/>
    </xf>
    <xf numFmtId="0" fontId="24" fillId="3" borderId="0" xfId="0" applyFont="1" applyFill="1" applyAlignment="1" applyProtection="1">
      <alignment horizontal="right"/>
      <protection hidden="1"/>
    </xf>
    <xf numFmtId="164" fontId="19" fillId="4" borderId="14" xfId="0" applyNumberFormat="1" applyFont="1" applyFill="1" applyBorder="1" applyProtection="1">
      <protection hidden="1"/>
    </xf>
    <xf numFmtId="2" fontId="19" fillId="4" borderId="42" xfId="0" applyNumberFormat="1" applyFont="1" applyFill="1" applyBorder="1" applyProtection="1">
      <protection hidden="1"/>
    </xf>
    <xf numFmtId="2" fontId="19" fillId="4" borderId="14" xfId="0" applyNumberFormat="1" applyFont="1" applyFill="1" applyBorder="1" applyProtection="1">
      <protection hidden="1"/>
    </xf>
    <xf numFmtId="0" fontId="20" fillId="3" borderId="0" xfId="0" applyFont="1" applyFill="1" applyAlignment="1" applyProtection="1">
      <alignment vertical="top" wrapText="1"/>
      <protection hidden="1"/>
    </xf>
    <xf numFmtId="0" fontId="20" fillId="3" borderId="0" xfId="0" applyFont="1" applyFill="1" applyBorder="1" applyProtection="1">
      <protection hidden="1"/>
    </xf>
    <xf numFmtId="0" fontId="19" fillId="4" borderId="15" xfId="0" applyFont="1" applyFill="1" applyBorder="1" applyAlignment="1" applyProtection="1">
      <alignment horizontal="right"/>
      <protection hidden="1"/>
    </xf>
    <xf numFmtId="0" fontId="19" fillId="4" borderId="15" xfId="0" applyFont="1" applyFill="1" applyBorder="1" applyAlignment="1" applyProtection="1">
      <protection hidden="1"/>
    </xf>
    <xf numFmtId="0" fontId="19" fillId="4" borderId="14" xfId="0" applyFont="1" applyFill="1" applyBorder="1" applyAlignment="1" applyProtection="1">
      <alignment horizontal="right"/>
      <protection hidden="1"/>
    </xf>
    <xf numFmtId="0" fontId="19" fillId="4" borderId="14" xfId="0" applyFont="1" applyFill="1" applyBorder="1" applyAlignment="1" applyProtection="1">
      <protection hidden="1"/>
    </xf>
    <xf numFmtId="0" fontId="20" fillId="3" borderId="0" xfId="0" applyFont="1" applyFill="1" applyAlignment="1" applyProtection="1">
      <protection hidden="1"/>
    </xf>
    <xf numFmtId="0" fontId="0" fillId="4" borderId="28" xfId="0" applyFill="1" applyBorder="1" applyProtection="1">
      <protection locked="0"/>
    </xf>
    <xf numFmtId="0" fontId="23" fillId="4" borderId="52" xfId="0" applyFont="1" applyFill="1" applyBorder="1" applyProtection="1">
      <protection locked="0"/>
    </xf>
    <xf numFmtId="2" fontId="19" fillId="4" borderId="53" xfId="0" applyNumberFormat="1" applyFont="1" applyFill="1" applyBorder="1" applyProtection="1">
      <protection hidden="1"/>
    </xf>
    <xf numFmtId="2" fontId="19" fillId="4" borderId="54" xfId="0" applyNumberFormat="1" applyFont="1" applyFill="1" applyBorder="1" applyProtection="1">
      <protection hidden="1"/>
    </xf>
    <xf numFmtId="2" fontId="19" fillId="4" borderId="55" xfId="0" applyNumberFormat="1" applyFont="1" applyFill="1" applyBorder="1" applyProtection="1">
      <protection hidden="1"/>
    </xf>
    <xf numFmtId="2" fontId="19" fillId="4" borderId="56" xfId="0" applyNumberFormat="1" applyFont="1" applyFill="1" applyBorder="1" applyProtection="1">
      <protection hidden="1"/>
    </xf>
    <xf numFmtId="2" fontId="19" fillId="4" borderId="1" xfId="0" applyNumberFormat="1" applyFont="1" applyFill="1" applyBorder="1" applyProtection="1">
      <protection hidden="1"/>
    </xf>
    <xf numFmtId="0" fontId="20" fillId="4" borderId="59" xfId="0" applyFont="1" applyFill="1" applyBorder="1" applyAlignment="1" applyProtection="1">
      <alignment horizontal="center"/>
      <protection locked="0"/>
    </xf>
    <xf numFmtId="0" fontId="20" fillId="4" borderId="60" xfId="0" applyFont="1" applyFill="1" applyBorder="1" applyAlignment="1" applyProtection="1">
      <alignment horizontal="center"/>
      <protection locked="0"/>
    </xf>
    <xf numFmtId="0" fontId="20" fillId="4" borderId="61" xfId="0" applyFont="1" applyFill="1" applyBorder="1" applyAlignment="1" applyProtection="1">
      <alignment horizontal="center"/>
      <protection hidden="1"/>
    </xf>
    <xf numFmtId="0" fontId="20" fillId="4" borderId="47" xfId="0" applyFont="1" applyFill="1" applyBorder="1" applyAlignment="1" applyProtection="1">
      <alignment horizontal="center"/>
      <protection hidden="1"/>
    </xf>
    <xf numFmtId="164" fontId="19" fillId="4" borderId="65" xfId="0" applyNumberFormat="1" applyFont="1" applyFill="1" applyBorder="1" applyProtection="1">
      <protection hidden="1"/>
    </xf>
    <xf numFmtId="2" fontId="0" fillId="0" borderId="11" xfId="0" applyNumberFormat="1" applyBorder="1"/>
    <xf numFmtId="0" fontId="26" fillId="3" borderId="0" xfId="0" applyFont="1" applyFill="1" applyProtection="1">
      <protection hidden="1"/>
    </xf>
    <xf numFmtId="0" fontId="27" fillId="3" borderId="0" xfId="0" applyFont="1" applyFill="1" applyAlignment="1" applyProtection="1">
      <alignment horizontal="right"/>
      <protection hidden="1"/>
    </xf>
    <xf numFmtId="0" fontId="0" fillId="4" borderId="14" xfId="0" applyFill="1" applyBorder="1" applyProtection="1">
      <protection hidden="1"/>
    </xf>
    <xf numFmtId="1" fontId="19" fillId="4" borderId="14" xfId="0" applyNumberFormat="1" applyFont="1" applyFill="1" applyBorder="1" applyAlignment="1" applyProtection="1">
      <alignment horizontal="center"/>
      <protection hidden="1"/>
    </xf>
    <xf numFmtId="2" fontId="19" fillId="4" borderId="66" xfId="0" applyNumberFormat="1" applyFont="1" applyFill="1" applyBorder="1" applyAlignment="1" applyProtection="1">
      <alignment horizontal="center" vertical="center" wrapText="1"/>
      <protection hidden="1"/>
    </xf>
    <xf numFmtId="1" fontId="19" fillId="4" borderId="43" xfId="0" applyNumberFormat="1" applyFont="1" applyFill="1" applyBorder="1" applyAlignment="1" applyProtection="1">
      <alignment horizontal="center"/>
      <protection hidden="1"/>
    </xf>
    <xf numFmtId="2" fontId="19" fillId="4" borderId="15" xfId="0" applyNumberFormat="1" applyFont="1" applyFill="1" applyBorder="1" applyProtection="1">
      <protection hidden="1"/>
    </xf>
    <xf numFmtId="2" fontId="30" fillId="4" borderId="0" xfId="0" applyNumberFormat="1" applyFont="1" applyFill="1" applyProtection="1">
      <protection hidden="1"/>
    </xf>
    <xf numFmtId="0" fontId="19" fillId="3" borderId="66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18" fillId="3" borderId="0" xfId="0" applyFont="1" applyFill="1" applyAlignment="1" applyProtection="1">
      <alignment horizontal="center" vertical="center" wrapText="1"/>
      <protection hidden="1"/>
    </xf>
    <xf numFmtId="49" fontId="20" fillId="4" borderId="24" xfId="0" applyNumberFormat="1" applyFont="1" applyFill="1" applyBorder="1" applyAlignment="1" applyProtection="1">
      <protection locked="0"/>
    </xf>
    <xf numFmtId="49" fontId="20" fillId="4" borderId="29" xfId="0" applyNumberFormat="1" applyFont="1" applyFill="1" applyBorder="1" applyAlignment="1" applyProtection="1">
      <protection locked="0"/>
    </xf>
    <xf numFmtId="0" fontId="6" fillId="3" borderId="0" xfId="1" applyFill="1" applyAlignment="1" applyProtection="1">
      <protection hidden="1"/>
    </xf>
    <xf numFmtId="2" fontId="19" fillId="4" borderId="15" xfId="0" applyNumberFormat="1" applyFont="1" applyFill="1" applyBorder="1" applyAlignment="1" applyProtection="1">
      <alignment horizontal="center" vertical="center" wrapText="1"/>
      <protection hidden="1"/>
    </xf>
    <xf numFmtId="1" fontId="19" fillId="4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4" borderId="15" xfId="0" applyFont="1" applyFill="1" applyBorder="1" applyProtection="1">
      <protection hidden="1"/>
    </xf>
    <xf numFmtId="2" fontId="19" fillId="4" borderId="42" xfId="0" applyNumberFormat="1" applyFont="1" applyFill="1" applyBorder="1" applyAlignment="1" applyProtection="1">
      <alignment horizontal="center" vertical="center" wrapText="1"/>
      <protection hidden="1"/>
    </xf>
    <xf numFmtId="2" fontId="19" fillId="4" borderId="67" xfId="0" applyNumberFormat="1" applyFont="1" applyFill="1" applyBorder="1" applyProtection="1">
      <protection hidden="1"/>
    </xf>
    <xf numFmtId="2" fontId="19" fillId="4" borderId="68" xfId="0" applyNumberFormat="1" applyFont="1" applyFill="1" applyBorder="1" applyProtection="1">
      <protection hidden="1"/>
    </xf>
    <xf numFmtId="164" fontId="19" fillId="4" borderId="19" xfId="0" applyNumberFormat="1" applyFont="1" applyFill="1" applyBorder="1" applyAlignment="1" applyProtection="1">
      <alignment horizontal="right"/>
      <protection hidden="1"/>
    </xf>
    <xf numFmtId="0" fontId="19" fillId="4" borderId="69" xfId="0" applyFont="1" applyFill="1" applyBorder="1" applyAlignment="1" applyProtection="1">
      <alignment horizontal="right"/>
      <protection hidden="1"/>
    </xf>
    <xf numFmtId="0" fontId="19" fillId="4" borderId="70" xfId="0" applyFont="1" applyFill="1" applyBorder="1" applyProtection="1"/>
    <xf numFmtId="0" fontId="19" fillId="4" borderId="71" xfId="0" applyFont="1" applyFill="1" applyBorder="1" applyProtection="1"/>
    <xf numFmtId="0" fontId="19" fillId="4" borderId="72" xfId="0" applyFont="1" applyFill="1" applyBorder="1" applyProtection="1"/>
    <xf numFmtId="0" fontId="19" fillId="0" borderId="51" xfId="0" applyFont="1" applyFill="1" applyBorder="1" applyAlignment="1" applyProtection="1">
      <alignment horizontal="center"/>
      <protection hidden="1"/>
    </xf>
    <xf numFmtId="2" fontId="30" fillId="4" borderId="67" xfId="0" applyNumberFormat="1" applyFont="1" applyFill="1" applyBorder="1" applyAlignment="1" applyProtection="1">
      <alignment horizontal="right"/>
      <protection hidden="1"/>
    </xf>
    <xf numFmtId="0" fontId="20" fillId="4" borderId="74" xfId="0" applyFont="1" applyFill="1" applyBorder="1" applyAlignment="1" applyProtection="1">
      <alignment horizontal="center"/>
      <protection locked="0"/>
    </xf>
    <xf numFmtId="0" fontId="0" fillId="0" borderId="75" xfId="0" applyFill="1" applyBorder="1" applyProtection="1">
      <protection hidden="1"/>
    </xf>
    <xf numFmtId="0" fontId="20" fillId="0" borderId="57" xfId="0" applyFont="1" applyFill="1" applyBorder="1" applyAlignment="1" applyProtection="1">
      <alignment horizontal="right"/>
      <protection hidden="1"/>
    </xf>
    <xf numFmtId="0" fontId="20" fillId="4" borderId="73" xfId="0" applyFont="1" applyFill="1" applyBorder="1" applyAlignment="1" applyProtection="1">
      <alignment horizontal="center"/>
      <protection hidden="1"/>
    </xf>
    <xf numFmtId="0" fontId="20" fillId="0" borderId="33" xfId="0" applyFont="1" applyFill="1" applyBorder="1" applyAlignment="1" applyProtection="1">
      <alignment horizontal="center" vertical="center"/>
      <protection hidden="1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0" fontId="23" fillId="4" borderId="76" xfId="0" applyFont="1" applyFill="1" applyBorder="1" applyProtection="1">
      <protection locked="0"/>
    </xf>
    <xf numFmtId="0" fontId="20" fillId="4" borderId="77" xfId="0" applyFont="1" applyFill="1" applyBorder="1" applyProtection="1">
      <protection locked="0"/>
    </xf>
    <xf numFmtId="0" fontId="20" fillId="4" borderId="78" xfId="0" applyFont="1" applyFill="1" applyBorder="1" applyProtection="1">
      <protection locked="0"/>
    </xf>
    <xf numFmtId="0" fontId="20" fillId="4" borderId="47" xfId="0" applyFont="1" applyFill="1" applyBorder="1" applyProtection="1">
      <protection locked="0"/>
    </xf>
    <xf numFmtId="0" fontId="20" fillId="4" borderId="79" xfId="0" applyFont="1" applyFill="1" applyBorder="1" applyProtection="1">
      <protection locked="0"/>
    </xf>
    <xf numFmtId="2" fontId="19" fillId="3" borderId="0" xfId="0" applyNumberFormat="1" applyFont="1" applyFill="1" applyBorder="1" applyProtection="1">
      <protection hidden="1"/>
    </xf>
    <xf numFmtId="0" fontId="19" fillId="4" borderId="81" xfId="0" applyFont="1" applyFill="1" applyBorder="1" applyAlignment="1" applyProtection="1">
      <alignment horizontal="center"/>
      <protection hidden="1"/>
    </xf>
    <xf numFmtId="2" fontId="19" fillId="4" borderId="62" xfId="0" applyNumberFormat="1" applyFont="1" applyFill="1" applyBorder="1" applyProtection="1">
      <protection hidden="1"/>
    </xf>
    <xf numFmtId="2" fontId="19" fillId="4" borderId="51" xfId="0" applyNumberFormat="1" applyFont="1" applyFill="1" applyBorder="1" applyProtection="1">
      <protection hidden="1"/>
    </xf>
    <xf numFmtId="2" fontId="0" fillId="4" borderId="80" xfId="0" applyNumberFormat="1" applyFill="1" applyBorder="1" applyProtection="1">
      <protection hidden="1"/>
    </xf>
    <xf numFmtId="2" fontId="0" fillId="4" borderId="51" xfId="0" applyNumberFormat="1" applyFill="1" applyBorder="1" applyProtection="1">
      <protection hidden="1"/>
    </xf>
    <xf numFmtId="0" fontId="19" fillId="4" borderId="84" xfId="0" applyFont="1" applyFill="1" applyBorder="1" applyAlignment="1" applyProtection="1">
      <alignment horizontal="center" vertical="center" wrapText="1"/>
      <protection hidden="1"/>
    </xf>
    <xf numFmtId="2" fontId="0" fillId="4" borderId="85" xfId="0" applyNumberFormat="1" applyFill="1" applyBorder="1" applyProtection="1">
      <protection hidden="1"/>
    </xf>
    <xf numFmtId="2" fontId="0" fillId="4" borderId="19" xfId="0" applyNumberFormat="1" applyFill="1" applyBorder="1" applyProtection="1">
      <protection hidden="1"/>
    </xf>
    <xf numFmtId="2" fontId="0" fillId="4" borderId="82" xfId="0" applyNumberFormat="1" applyFill="1" applyBorder="1" applyProtection="1">
      <protection hidden="1"/>
    </xf>
    <xf numFmtId="49" fontId="23" fillId="4" borderId="87" xfId="0" applyNumberFormat="1" applyFont="1" applyFill="1" applyBorder="1" applyAlignment="1" applyProtection="1">
      <alignment vertical="center" wrapText="1"/>
      <protection locked="0"/>
    </xf>
    <xf numFmtId="49" fontId="23" fillId="4" borderId="86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88" xfId="0" applyFont="1" applyFill="1" applyBorder="1" applyAlignment="1" applyProtection="1">
      <alignment horizontal="center" vertical="center"/>
      <protection hidden="1"/>
    </xf>
    <xf numFmtId="0" fontId="23" fillId="4" borderId="89" xfId="0" applyFont="1" applyFill="1" applyBorder="1" applyProtection="1">
      <protection locked="0"/>
    </xf>
    <xf numFmtId="0" fontId="23" fillId="4" borderId="90" xfId="0" applyFont="1" applyFill="1" applyBorder="1" applyAlignment="1" applyProtection="1">
      <alignment horizontal="center" vertical="center" wrapText="1"/>
      <protection hidden="1"/>
    </xf>
    <xf numFmtId="0" fontId="23" fillId="4" borderId="90" xfId="0" applyFont="1" applyFill="1" applyBorder="1" applyProtection="1">
      <protection locked="0"/>
    </xf>
    <xf numFmtId="0" fontId="23" fillId="4" borderId="91" xfId="0" applyFont="1" applyFill="1" applyBorder="1" applyProtection="1">
      <protection locked="0"/>
    </xf>
    <xf numFmtId="0" fontId="23" fillId="4" borderId="92" xfId="0" applyFont="1" applyFill="1" applyBorder="1" applyProtection="1">
      <protection locked="0"/>
    </xf>
    <xf numFmtId="0" fontId="23" fillId="4" borderId="93" xfId="0" applyFont="1" applyFill="1" applyBorder="1" applyProtection="1">
      <protection locked="0"/>
    </xf>
    <xf numFmtId="167" fontId="19" fillId="3" borderId="0" xfId="0" applyNumberFormat="1" applyFont="1" applyFill="1" applyProtection="1">
      <protection hidden="1"/>
    </xf>
    <xf numFmtId="0" fontId="31" fillId="3" borderId="0" xfId="0" applyFont="1" applyFill="1" applyBorder="1" applyAlignment="1" applyProtection="1">
      <alignment horizontal="center"/>
      <protection hidden="1"/>
    </xf>
    <xf numFmtId="0" fontId="31" fillId="3" borderId="0" xfId="0" applyFont="1" applyFill="1" applyProtection="1">
      <protection hidden="1"/>
    </xf>
    <xf numFmtId="0" fontId="31" fillId="3" borderId="0" xfId="0" applyFont="1" applyFill="1" applyBorder="1" applyProtection="1">
      <protection hidden="1"/>
    </xf>
    <xf numFmtId="164" fontId="31" fillId="3" borderId="0" xfId="0" applyNumberFormat="1" applyFont="1" applyFill="1" applyBorder="1" applyProtection="1">
      <protection hidden="1"/>
    </xf>
    <xf numFmtId="0" fontId="19" fillId="3" borderId="0" xfId="0" applyFont="1" applyFill="1" applyBorder="1" applyAlignment="1" applyProtection="1">
      <alignment horizontal="center" vertical="center" wrapText="1"/>
      <protection hidden="1"/>
    </xf>
    <xf numFmtId="164" fontId="19" fillId="3" borderId="0" xfId="0" applyNumberFormat="1" applyFont="1" applyFill="1" applyBorder="1" applyProtection="1">
      <protection hidden="1"/>
    </xf>
    <xf numFmtId="2" fontId="19" fillId="3" borderId="0" xfId="0" applyNumberFormat="1" applyFont="1" applyFill="1" applyProtection="1">
      <protection hidden="1"/>
    </xf>
    <xf numFmtId="2" fontId="30" fillId="4" borderId="18" xfId="0" applyNumberFormat="1" applyFont="1" applyFill="1" applyBorder="1" applyProtection="1">
      <protection hidden="1"/>
    </xf>
    <xf numFmtId="164" fontId="19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9" fillId="4" borderId="66" xfId="0" applyFont="1" applyFill="1" applyBorder="1" applyAlignment="1" applyProtection="1">
      <alignment horizontal="center"/>
    </xf>
    <xf numFmtId="0" fontId="19" fillId="4" borderId="67" xfId="0" applyFont="1" applyFill="1" applyBorder="1" applyAlignment="1" applyProtection="1">
      <alignment horizontal="center"/>
    </xf>
    <xf numFmtId="2" fontId="19" fillId="4" borderId="15" xfId="0" applyNumberFormat="1" applyFont="1" applyFill="1" applyBorder="1" applyAlignment="1" applyProtection="1">
      <protection hidden="1"/>
    </xf>
    <xf numFmtId="0" fontId="23" fillId="4" borderId="48" xfId="0" applyFont="1" applyFill="1" applyBorder="1" applyAlignment="1" applyProtection="1">
      <alignment horizontal="center"/>
      <protection locked="0"/>
    </xf>
    <xf numFmtId="0" fontId="23" fillId="4" borderId="99" xfId="0" applyFont="1" applyFill="1" applyBorder="1" applyProtection="1">
      <protection locked="0"/>
    </xf>
    <xf numFmtId="0" fontId="19" fillId="4" borderId="14" xfId="0" applyFont="1" applyFill="1" applyBorder="1" applyProtection="1">
      <protection locked="0"/>
    </xf>
    <xf numFmtId="0" fontId="19" fillId="4" borderId="51" xfId="0" applyFont="1" applyFill="1" applyBorder="1" applyProtection="1">
      <protection locked="0"/>
    </xf>
    <xf numFmtId="0" fontId="23" fillId="4" borderId="76" xfId="0" applyFont="1" applyFill="1" applyBorder="1" applyAlignment="1" applyProtection="1">
      <alignment horizontal="center"/>
      <protection locked="0"/>
    </xf>
    <xf numFmtId="0" fontId="23" fillId="4" borderId="100" xfId="0" applyFont="1" applyFill="1" applyBorder="1" applyProtection="1">
      <protection locked="0"/>
    </xf>
    <xf numFmtId="0" fontId="19" fillId="4" borderId="50" xfId="0" applyFont="1" applyFill="1" applyBorder="1" applyAlignment="1" applyProtection="1">
      <alignment horizontal="center" vertical="center" wrapText="1"/>
      <protection hidden="1"/>
    </xf>
    <xf numFmtId="2" fontId="19" fillId="5" borderId="0" xfId="0" applyNumberFormat="1" applyFont="1" applyFill="1" applyBorder="1" applyProtection="1">
      <protection hidden="1"/>
    </xf>
    <xf numFmtId="0" fontId="19" fillId="5" borderId="0" xfId="0" applyFont="1" applyFill="1" applyBorder="1" applyAlignment="1" applyProtection="1">
      <alignment horizontal="center" vertical="center" wrapText="1"/>
      <protection hidden="1"/>
    </xf>
    <xf numFmtId="0" fontId="19" fillId="5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 applyProtection="1">
      <alignment horizontal="center" vertical="center" wrapText="1"/>
      <protection hidden="1"/>
    </xf>
    <xf numFmtId="0" fontId="19" fillId="5" borderId="0" xfId="0" applyFont="1" applyFill="1" applyProtection="1">
      <protection hidden="1"/>
    </xf>
    <xf numFmtId="0" fontId="19" fillId="3" borderId="0" xfId="0" applyFont="1" applyFill="1" applyAlignment="1" applyProtection="1">
      <alignment horizontal="center" vertical="center" wrapText="1"/>
      <protection hidden="1"/>
    </xf>
    <xf numFmtId="0" fontId="20" fillId="4" borderId="101" xfId="0" applyFont="1" applyFill="1" applyBorder="1" applyAlignment="1" applyProtection="1">
      <alignment horizontal="center"/>
      <protection locked="0"/>
    </xf>
    <xf numFmtId="0" fontId="20" fillId="4" borderId="57" xfId="0" applyFont="1" applyFill="1" applyBorder="1" applyProtection="1">
      <protection hidden="1"/>
    </xf>
    <xf numFmtId="0" fontId="20" fillId="4" borderId="103" xfId="0" applyFont="1" applyFill="1" applyBorder="1" applyAlignment="1" applyProtection="1">
      <alignment horizontal="center"/>
      <protection locked="0"/>
    </xf>
    <xf numFmtId="0" fontId="20" fillId="4" borderId="102" xfId="0" applyFont="1" applyFill="1" applyBorder="1" applyProtection="1">
      <protection hidden="1"/>
    </xf>
    <xf numFmtId="0" fontId="19" fillId="3" borderId="55" xfId="0" applyFont="1" applyFill="1" applyBorder="1" applyProtection="1">
      <protection hidden="1"/>
    </xf>
    <xf numFmtId="0" fontId="19" fillId="4" borderId="104" xfId="0" applyFont="1" applyFill="1" applyBorder="1" applyAlignment="1" applyProtection="1">
      <alignment horizontal="center"/>
      <protection hidden="1"/>
    </xf>
    <xf numFmtId="0" fontId="10" fillId="2" borderId="105" xfId="0" applyFont="1" applyFill="1" applyBorder="1" applyAlignment="1" applyProtection="1">
      <alignment horizontal="center"/>
      <protection hidden="1"/>
    </xf>
    <xf numFmtId="0" fontId="25" fillId="4" borderId="106" xfId="0" applyFont="1" applyFill="1" applyBorder="1" applyProtection="1">
      <protection hidden="1"/>
    </xf>
    <xf numFmtId="0" fontId="10" fillId="2" borderId="107" xfId="0" applyFont="1" applyFill="1" applyBorder="1" applyAlignment="1" applyProtection="1">
      <alignment horizontal="center"/>
      <protection hidden="1"/>
    </xf>
    <xf numFmtId="0" fontId="0" fillId="4" borderId="33" xfId="0" applyFill="1" applyBorder="1" applyProtection="1">
      <protection hidden="1"/>
    </xf>
    <xf numFmtId="0" fontId="0" fillId="4" borderId="25" xfId="0" applyFill="1" applyBorder="1" applyProtection="1">
      <protection hidden="1"/>
    </xf>
    <xf numFmtId="0" fontId="19" fillId="4" borderId="28" xfId="0" applyFont="1" applyFill="1" applyBorder="1" applyAlignment="1" applyProtection="1">
      <alignment horizontal="right"/>
      <protection hidden="1"/>
    </xf>
    <xf numFmtId="0" fontId="19" fillId="4" borderId="33" xfId="0" applyFont="1" applyFill="1" applyBorder="1" applyAlignment="1" applyProtection="1">
      <alignment horizontal="right"/>
      <protection hidden="1"/>
    </xf>
    <xf numFmtId="0" fontId="32" fillId="3" borderId="0" xfId="0" applyFont="1" applyFill="1" applyBorder="1" applyProtection="1">
      <protection hidden="1"/>
    </xf>
    <xf numFmtId="0" fontId="32" fillId="3" borderId="0" xfId="0" applyFont="1" applyFill="1" applyProtection="1">
      <protection hidden="1"/>
    </xf>
    <xf numFmtId="0" fontId="32" fillId="3" borderId="0" xfId="0" applyFont="1" applyFill="1" applyAlignment="1" applyProtection="1">
      <alignment horizontal="right"/>
      <protection hidden="1"/>
    </xf>
    <xf numFmtId="164" fontId="32" fillId="3" borderId="0" xfId="0" applyNumberFormat="1" applyFont="1" applyFill="1" applyProtection="1">
      <protection hidden="1"/>
    </xf>
    <xf numFmtId="0" fontId="32" fillId="3" borderId="0" xfId="0" applyFont="1" applyFill="1" applyBorder="1" applyAlignment="1" applyProtection="1">
      <alignment horizontal="center" vertical="center" wrapText="1"/>
      <protection hidden="1"/>
    </xf>
    <xf numFmtId="0" fontId="32" fillId="3" borderId="0" xfId="0" applyFont="1" applyFill="1" applyBorder="1" applyAlignment="1" applyProtection="1">
      <alignment horizontal="center" wrapText="1"/>
      <protection hidden="1"/>
    </xf>
    <xf numFmtId="0" fontId="32" fillId="3" borderId="0" xfId="0" applyFont="1" applyFill="1" applyBorder="1" applyAlignment="1" applyProtection="1">
      <alignment horizontal="center"/>
      <protection hidden="1"/>
    </xf>
    <xf numFmtId="164" fontId="32" fillId="3" borderId="0" xfId="0" applyNumberFormat="1" applyFont="1" applyFill="1" applyBorder="1" applyProtection="1">
      <protection hidden="1"/>
    </xf>
    <xf numFmtId="164" fontId="3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1" fillId="4" borderId="66" xfId="0" applyFont="1" applyFill="1" applyBorder="1" applyAlignment="1" applyProtection="1">
      <alignment horizontal="center"/>
      <protection hidden="1"/>
    </xf>
    <xf numFmtId="0" fontId="21" fillId="4" borderId="56" xfId="0" applyFont="1" applyFill="1" applyBorder="1" applyAlignment="1" applyProtection="1">
      <alignment horizontal="center"/>
      <protection hidden="1"/>
    </xf>
    <xf numFmtId="0" fontId="21" fillId="4" borderId="67" xfId="0" applyFont="1" applyFill="1" applyBorder="1" applyAlignment="1" applyProtection="1">
      <alignment horizontal="center"/>
      <protection hidden="1"/>
    </xf>
    <xf numFmtId="0" fontId="19" fillId="4" borderId="58" xfId="0" applyFont="1" applyFill="1" applyBorder="1" applyAlignment="1" applyProtection="1">
      <alignment horizontal="center"/>
      <protection hidden="1"/>
    </xf>
    <xf numFmtId="0" fontId="19" fillId="4" borderId="62" xfId="0" applyFont="1" applyFill="1" applyBorder="1" applyAlignment="1" applyProtection="1">
      <alignment horizontal="center"/>
      <protection hidden="1"/>
    </xf>
    <xf numFmtId="0" fontId="20" fillId="4" borderId="24" xfId="0" applyFont="1" applyFill="1" applyBorder="1" applyAlignment="1" applyProtection="1">
      <alignment horizontal="left"/>
      <protection locked="0"/>
    </xf>
    <xf numFmtId="0" fontId="20" fillId="4" borderId="25" xfId="0" applyFont="1" applyFill="1" applyBorder="1" applyAlignment="1" applyProtection="1">
      <alignment horizontal="left"/>
      <protection locked="0"/>
    </xf>
    <xf numFmtId="0" fontId="20" fillId="4" borderId="28" xfId="0" applyFont="1" applyFill="1" applyBorder="1" applyAlignment="1" applyProtection="1">
      <alignment horizontal="left"/>
      <protection locked="0"/>
    </xf>
    <xf numFmtId="14" fontId="20" fillId="4" borderId="16" xfId="0" applyNumberFormat="1" applyFont="1" applyFill="1" applyBorder="1" applyAlignment="1" applyProtection="1">
      <alignment horizontal="left"/>
      <protection locked="0"/>
    </xf>
    <xf numFmtId="14" fontId="20" fillId="4" borderId="31" xfId="0" applyNumberFormat="1" applyFont="1" applyFill="1" applyBorder="1" applyAlignment="1" applyProtection="1">
      <alignment horizontal="left"/>
      <protection locked="0"/>
    </xf>
    <xf numFmtId="14" fontId="20" fillId="4" borderId="32" xfId="0" applyNumberFormat="1" applyFont="1" applyFill="1" applyBorder="1" applyAlignment="1" applyProtection="1">
      <alignment horizontal="left"/>
      <protection locked="0"/>
    </xf>
    <xf numFmtId="0" fontId="19" fillId="4" borderId="94" xfId="0" applyFont="1" applyFill="1" applyBorder="1" applyAlignment="1" applyProtection="1">
      <alignment horizontal="center"/>
      <protection hidden="1"/>
    </xf>
    <xf numFmtId="0" fontId="19" fillId="4" borderId="36" xfId="0" applyFont="1" applyFill="1" applyBorder="1" applyAlignment="1" applyProtection="1">
      <alignment horizontal="center"/>
      <protection hidden="1"/>
    </xf>
    <xf numFmtId="0" fontId="19" fillId="4" borderId="83" xfId="0" applyFont="1" applyFill="1" applyBorder="1" applyAlignment="1" applyProtection="1">
      <alignment horizontal="center"/>
      <protection hidden="1"/>
    </xf>
    <xf numFmtId="0" fontId="23" fillId="4" borderId="98" xfId="0" applyFont="1" applyFill="1" applyBorder="1" applyAlignment="1" applyProtection="1">
      <alignment horizontal="center"/>
      <protection hidden="1"/>
    </xf>
    <xf numFmtId="0" fontId="23" fillId="4" borderId="97" xfId="0" applyFont="1" applyFill="1" applyBorder="1" applyAlignment="1" applyProtection="1">
      <alignment horizontal="center"/>
      <protection hidden="1"/>
    </xf>
    <xf numFmtId="0" fontId="23" fillId="4" borderId="96" xfId="0" applyFont="1" applyFill="1" applyBorder="1" applyAlignment="1" applyProtection="1">
      <alignment horizontal="center"/>
      <protection hidden="1"/>
    </xf>
    <xf numFmtId="0" fontId="20" fillId="4" borderId="63" xfId="0" applyFont="1" applyFill="1" applyBorder="1" applyAlignment="1" applyProtection="1">
      <alignment horizontal="center"/>
      <protection hidden="1"/>
    </xf>
    <xf numFmtId="0" fontId="20" fillId="4" borderId="64" xfId="0" applyFont="1" applyFill="1" applyBorder="1" applyAlignment="1" applyProtection="1">
      <alignment horizontal="center"/>
      <protection hidden="1"/>
    </xf>
    <xf numFmtId="0" fontId="20" fillId="4" borderId="95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b/>
        <i val="0"/>
      </font>
    </dxf>
    <dxf>
      <font>
        <b/>
        <i val="0"/>
        <color rgb="FF00B050"/>
        <name val="Cambria"/>
        <scheme val="none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33CC33"/>
      </font>
    </dxf>
  </dxfs>
  <tableStyles count="0" defaultTableStyle="TableStyleMedium9" defaultPivotStyle="PivotStyleLight16"/>
  <colors>
    <mruColors>
      <color rgb="FFCCFFCC"/>
      <color rgb="FF0000FF"/>
      <color rgb="FFFF7171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Calc!$A$36</c:f>
          <c:strCache>
            <c:ptCount val="1"/>
            <c:pt idx="0">
              <c:v>Relative diff and CV% for Lab &amp; Peer  values</c:v>
            </c:pt>
          </c:strCache>
        </c:strRef>
      </c:tx>
      <c:layout>
        <c:manualLayout>
          <c:xMode val="edge"/>
          <c:yMode val="edge"/>
          <c:x val="0.13004303933041117"/>
          <c:y val="3.1093613298337711E-2"/>
        </c:manualLayout>
      </c:layout>
      <c:overlay val="0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579391316543459"/>
          <c:y val="0.11824424824594772"/>
          <c:w val="0.63246782855071981"/>
          <c:h val="0.66588341924885308"/>
        </c:manualLayout>
      </c:layout>
      <c:scatterChart>
        <c:scatterStyle val="lineMarker"/>
        <c:varyColors val="0"/>
        <c:ser>
          <c:idx val="0"/>
          <c:order val="0"/>
          <c:tx>
            <c:v>Rel difference</c:v>
          </c:tx>
          <c:spPr>
            <a:ln w="952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trendline>
            <c:spPr>
              <a:ln>
                <a:solidFill>
                  <a:srgbClr val="0000FF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Input!$C$10:$C$29</c:f>
              <c:numCache>
                <c:formatCode>General</c:formatCode>
                <c:ptCount val="20"/>
              </c:numCache>
            </c:numRef>
          </c:xVal>
          <c:yVal>
            <c:numRef>
              <c:f>Input!$AC$10:$AC$29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AC-4D87-BD41-3577926F6B31}"/>
            </c:ext>
          </c:extLst>
        </c:ser>
        <c:ser>
          <c:idx val="2"/>
          <c:order val="2"/>
          <c:tx>
            <c:v>B-A 1</c:v>
          </c:tx>
          <c:spPr>
            <a:ln w="12700">
              <a:solidFill>
                <a:srgbClr val="0066FF"/>
              </a:solidFill>
              <a:prstDash val="dashDot"/>
            </a:ln>
          </c:spPr>
          <c:marker>
            <c:symbol val="none"/>
          </c:marker>
          <c:xVal>
            <c:numRef>
              <c:f>Calc!$C$18:$C$19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Calc!$B$27:$C$27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AC-4D87-BD41-3577926F6B31}"/>
            </c:ext>
          </c:extLst>
        </c:ser>
        <c:ser>
          <c:idx val="3"/>
          <c:order val="3"/>
          <c:tx>
            <c:v>B-A 2</c:v>
          </c:tx>
          <c:spPr>
            <a:ln w="12700">
              <a:solidFill>
                <a:srgbClr val="0066FF"/>
              </a:solidFill>
              <a:prstDash val="dashDot"/>
            </a:ln>
          </c:spPr>
          <c:marker>
            <c:symbol val="none"/>
          </c:marker>
          <c:xVal>
            <c:numRef>
              <c:f>Calc!$C$18:$C$19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Calc!$D$27:$E$27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AC-4D87-BD41-3577926F6B31}"/>
            </c:ext>
          </c:extLst>
        </c:ser>
        <c:ser>
          <c:idx val="4"/>
          <c:order val="4"/>
          <c:tx>
            <c:v>Average</c:v>
          </c:tx>
          <c:spPr>
            <a:ln w="12700">
              <a:solidFill>
                <a:srgbClr val="0066FF"/>
              </a:solidFill>
            </a:ln>
          </c:spPr>
          <c:marker>
            <c:symbol val="none"/>
          </c:marker>
          <c:xVal>
            <c:numRef>
              <c:f>Calc!$C$18:$C$19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Calc!$C$25:$E$25</c:f>
              <c:numCache>
                <c:formatCode>0.00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AC-4D87-BD41-3577926F6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71840"/>
        <c:axId val="125972416"/>
      </c:scatterChart>
      <c:scatterChart>
        <c:scatterStyle val="lineMarker"/>
        <c:varyColors val="0"/>
        <c:ser>
          <c:idx val="1"/>
          <c:order val="1"/>
          <c:tx>
            <c:v>Coeff of variation</c:v>
          </c:tx>
          <c:spPr>
            <a:ln w="9525"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Input!$C$10:$C$29</c:f>
              <c:numCache>
                <c:formatCode>General</c:formatCode>
                <c:ptCount val="20"/>
              </c:numCache>
            </c:numRef>
          </c:xVal>
          <c:yVal>
            <c:numRef>
              <c:f>Input!$Y$10:$Y$29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BAC-4D87-BD41-3577926F6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69536"/>
        <c:axId val="125972992"/>
      </c:scatterChart>
      <c:valAx>
        <c:axId val="125971840"/>
        <c:scaling>
          <c:orientation val="minMax"/>
        </c:scaling>
        <c:delete val="0"/>
        <c:axPos val="b"/>
        <c:title>
          <c:tx>
            <c:strRef>
              <c:f>Calc!$A$31</c:f>
              <c:strCache>
                <c:ptCount val="1"/>
                <c:pt idx="0">
                  <c:v>Peer groups' result</c:v>
                </c:pt>
              </c:strCache>
            </c:strRef>
          </c:tx>
          <c:layout>
            <c:manualLayout>
              <c:xMode val="edge"/>
              <c:yMode val="edge"/>
              <c:x val="0.37450352710948925"/>
              <c:y val="0.87045850750137732"/>
            </c:manualLayout>
          </c:layout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72416"/>
        <c:crosses val="autoZero"/>
        <c:crossBetween val="midCat"/>
      </c:valAx>
      <c:valAx>
        <c:axId val="125972416"/>
        <c:scaling>
          <c:orientation val="minMax"/>
        </c:scaling>
        <c:delete val="0"/>
        <c:axPos val="l"/>
        <c:title>
          <c:tx>
            <c:strRef>
              <c:f>Calc!$A$35</c:f>
              <c:strCache>
                <c:ptCount val="1"/>
                <c:pt idx="0">
                  <c:v>Relative diff: (Lab - Peer)</c:v>
                </c:pt>
              </c:strCache>
            </c:strRef>
          </c:tx>
          <c:layout>
            <c:manualLayout>
              <c:xMode val="edge"/>
              <c:yMode val="edge"/>
              <c:x val="1.417190609360228E-2"/>
              <c:y val="0.15524318719419339"/>
            </c:manualLayout>
          </c:layout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71840"/>
        <c:crosses val="autoZero"/>
        <c:crossBetween val="midCat"/>
      </c:valAx>
      <c:valAx>
        <c:axId val="125969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5972992"/>
        <c:crosses val="autoZero"/>
        <c:crossBetween val="midCat"/>
      </c:valAx>
      <c:valAx>
        <c:axId val="125972992"/>
        <c:scaling>
          <c:orientation val="minMax"/>
        </c:scaling>
        <c:delete val="0"/>
        <c:axPos val="r"/>
        <c:title>
          <c:tx>
            <c:strRef>
              <c:f>Calc!$A$37</c:f>
              <c:strCache>
                <c:ptCount val="1"/>
                <c:pt idx="0">
                  <c:v>Rel  SEM (%) of Peers</c:v>
                </c:pt>
              </c:strCache>
            </c:strRef>
          </c:tx>
          <c:layout>
            <c:manualLayout>
              <c:xMode val="edge"/>
              <c:yMode val="edge"/>
              <c:x val="0.92704826541033847"/>
              <c:y val="0.22913240161526577"/>
            </c:manualLayout>
          </c:layout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69536"/>
        <c:crosses val="max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Regression functions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7320974761988245"/>
          <c:y val="0.11286524417608471"/>
          <c:w val="0.72719318844268555"/>
          <c:h val="0.71511182581050603"/>
        </c:manualLayout>
      </c:layout>
      <c:scatterChart>
        <c:scatterStyle val="lineMarker"/>
        <c:varyColors val="0"/>
        <c:ser>
          <c:idx val="0"/>
          <c:order val="0"/>
          <c:tx>
            <c:v>Results</c:v>
          </c:tx>
          <c:spPr>
            <a:ln w="28575">
              <a:noFill/>
            </a:ln>
          </c:spPr>
          <c:marker>
            <c:symbol val="diamond"/>
            <c:size val="4"/>
          </c:marker>
          <c:xVal>
            <c:numRef>
              <c:f>Input!$C$10:$C$29</c:f>
              <c:numCache>
                <c:formatCode>General</c:formatCode>
                <c:ptCount val="20"/>
              </c:numCache>
            </c:numRef>
          </c:xVal>
          <c:yVal>
            <c:numRef>
              <c:f>Input!$S$10:$S$29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FA-46D3-BDD7-A3EC40A476F2}"/>
            </c:ext>
          </c:extLst>
        </c:ser>
        <c:ser>
          <c:idx val="1"/>
          <c:order val="1"/>
          <c:tx>
            <c:v>Equal line</c:v>
          </c:tx>
          <c:spPr>
            <a:ln w="1905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Calc!$L$3:$L$4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Calc!$M$3:$M$4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FA-46D3-BDD7-A3EC40A476F2}"/>
            </c:ext>
          </c:extLst>
        </c:ser>
        <c:ser>
          <c:idx val="4"/>
          <c:order val="2"/>
          <c:tx>
            <c:v>mean</c:v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 w="15875">
                <a:solidFill>
                  <a:srgbClr val="66FF33"/>
                </a:solidFill>
              </a:ln>
            </c:spPr>
          </c:marker>
          <c:xVal>
            <c:numRef>
              <c:f>Input!$V$31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Input!$V$33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FA-46D3-BDD7-A3EC40A476F2}"/>
            </c:ext>
          </c:extLst>
        </c:ser>
        <c:ser>
          <c:idx val="2"/>
          <c:order val="3"/>
          <c:tx>
            <c:v>median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66FF33"/>
              </a:solidFill>
              <a:ln w="12700">
                <a:solidFill>
                  <a:srgbClr val="FF0000"/>
                </a:solidFill>
              </a:ln>
            </c:spPr>
          </c:marker>
          <c:xVal>
            <c:numRef>
              <c:f>Calc!$G$30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Calc!$H$30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FA-46D3-BDD7-A3EC40A476F2}"/>
            </c:ext>
          </c:extLst>
        </c:ser>
        <c:ser>
          <c:idx val="3"/>
          <c:order val="4"/>
          <c:tx>
            <c:v>Deming</c:v>
          </c:tx>
          <c:spPr>
            <a:ln w="15875">
              <a:solidFill>
                <a:srgbClr val="00FF00"/>
              </a:solidFill>
            </a:ln>
          </c:spPr>
          <c:marker>
            <c:symbol val="none"/>
          </c:marker>
          <c:xVal>
            <c:numRef>
              <c:f>Calc!$C$18:$C$19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Calc!$D$18:$D$19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FA-46D3-BDD7-A3EC40A476F2}"/>
            </c:ext>
          </c:extLst>
        </c:ser>
        <c:ser>
          <c:idx val="5"/>
          <c:order val="5"/>
          <c:tx>
            <c:v>OLR</c:v>
          </c:tx>
          <c:spPr>
            <a:ln w="15875">
              <a:solidFill>
                <a:srgbClr val="4F81BD"/>
              </a:solidFill>
            </a:ln>
          </c:spPr>
          <c:marker>
            <c:symbol val="none"/>
          </c:marker>
          <c:xVal>
            <c:numRef>
              <c:f>Calc!$C$21:$C$22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Calc!$D$21:$D$22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FA-46D3-BDD7-A3EC40A476F2}"/>
            </c:ext>
          </c:extLst>
        </c:ser>
        <c:ser>
          <c:idx val="6"/>
          <c:order val="6"/>
          <c:tx>
            <c:v>allowable pos</c:v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Calc!$R$30:$R$31</c:f>
              <c:numCache>
                <c:formatCode>0.0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Calc!$S$30:$S$31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FA-46D3-BDD7-A3EC40A476F2}"/>
            </c:ext>
          </c:extLst>
        </c:ser>
        <c:ser>
          <c:idx val="7"/>
          <c:order val="7"/>
          <c:tx>
            <c:v>allowable neg</c:v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Calc!$R$30:$R$31</c:f>
              <c:numCache>
                <c:formatCode>0.0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Calc!$T$30:$T$31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FA-46D3-BDD7-A3EC40A47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975872"/>
        <c:axId val="160826496"/>
      </c:scatterChart>
      <c:valAx>
        <c:axId val="125975872"/>
        <c:scaling>
          <c:orientation val="minMax"/>
        </c:scaling>
        <c:delete val="0"/>
        <c:axPos val="b"/>
        <c:title>
          <c:tx>
            <c:strRef>
              <c:f>Calc!$A$31</c:f>
              <c:strCache>
                <c:ptCount val="1"/>
                <c:pt idx="0">
                  <c:v>Peer groups' result</c:v>
                </c:pt>
              </c:strCache>
            </c:strRef>
          </c:tx>
          <c:layout>
            <c:manualLayout>
              <c:xMode val="edge"/>
              <c:yMode val="edge"/>
              <c:x val="0.35657900701131018"/>
              <c:y val="0.91176842025181648"/>
            </c:manualLayout>
          </c:layout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0826496"/>
        <c:crosses val="autoZero"/>
        <c:crossBetween val="midCat"/>
      </c:valAx>
      <c:valAx>
        <c:axId val="160826496"/>
        <c:scaling>
          <c:orientation val="minMax"/>
        </c:scaling>
        <c:delete val="0"/>
        <c:axPos val="l"/>
        <c:title>
          <c:tx>
            <c:strRef>
              <c:f>Calc!$A$38</c:f>
              <c:strCache>
                <c:ptCount val="1"/>
                <c:pt idx="0">
                  <c:v>Laboratory's average values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25975872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64146806161764591"/>
          <c:y val="0.5981674464604968"/>
          <c:w val="0.2856719233215626"/>
          <c:h val="0.21081547415268745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Residuals and differences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6165452755905479"/>
          <c:y val="9.5755334010668242E-2"/>
          <c:w val="0.77610334645669365"/>
          <c:h val="0.78612839725679462"/>
        </c:manualLayout>
      </c:layout>
      <c:scatterChart>
        <c:scatterStyle val="lineMarker"/>
        <c:varyColors val="0"/>
        <c:ser>
          <c:idx val="0"/>
          <c:order val="0"/>
          <c:tx>
            <c:strRef>
              <c:f>Calc!$U$8</c:f>
              <c:strCache>
                <c:ptCount val="1"/>
                <c:pt idx="0">
                  <c:v>Deming residuals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xVal>
            <c:numRef>
              <c:f>Calc!$I$35:$I$54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Calc!$U$9:$U$28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79-4E60-B2E9-CDCEDB418652}"/>
            </c:ext>
          </c:extLst>
        </c:ser>
        <c:ser>
          <c:idx val="1"/>
          <c:order val="1"/>
          <c:tx>
            <c:strRef>
              <c:f>Calc!$V$8</c:f>
              <c:strCache>
                <c:ptCount val="1"/>
                <c:pt idx="0">
                  <c:v>OLR residuals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Calc!$I$35:$I$54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Calc!$V$9:$V$28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79-4E60-B2E9-CDCEDB418652}"/>
            </c:ext>
          </c:extLst>
        </c:ser>
        <c:ser>
          <c:idx val="2"/>
          <c:order val="2"/>
          <c:tx>
            <c:v>Diff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Calc!$I$35:$I$54</c:f>
              <c:numCache>
                <c:formatCode>0.00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xVal>
          <c:yVal>
            <c:numRef>
              <c:f>Calc!$J$35:$J$54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79-4E60-B2E9-CDCEDB418652}"/>
            </c:ext>
          </c:extLst>
        </c:ser>
        <c:ser>
          <c:idx val="3"/>
          <c:order val="3"/>
          <c:tx>
            <c:v>Allowable diff</c:v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Calc!$R$30:$R$31</c:f>
              <c:numCache>
                <c:formatCode>0.0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Calc!$U$30:$U$31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79-4E60-B2E9-CDCEDB418652}"/>
            </c:ext>
          </c:extLst>
        </c:ser>
        <c:ser>
          <c:idx val="4"/>
          <c:order val="4"/>
          <c:tx>
            <c:v>allowable diff neg</c:v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Calc!$R$30:$R$31</c:f>
              <c:numCache>
                <c:formatCode>0.0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Calc!$V$30:$V$31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579-4E60-B2E9-CDCEDB418652}"/>
            </c:ext>
          </c:extLst>
        </c:ser>
        <c:ser>
          <c:idx val="5"/>
          <c:order val="5"/>
          <c:tx>
            <c:v>regr</c:v>
          </c:tx>
          <c:spPr>
            <a:ln w="12700">
              <a:solidFill>
                <a:srgbClr val="FF0000"/>
              </a:solidFill>
              <a:prstDash val="dashDot"/>
            </a:ln>
          </c:spPr>
          <c:marker>
            <c:symbol val="none"/>
          </c:marker>
          <c:xVal>
            <c:numRef>
              <c:f>Calc!$M$37:$M$38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Calc!$N$37:$N$38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579-4E60-B2E9-CDCEDB418652}"/>
            </c:ext>
          </c:extLst>
        </c:ser>
        <c:ser>
          <c:idx val="6"/>
          <c:order val="6"/>
          <c:tx>
            <c:v>Average</c:v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 w="12700">
                <a:solidFill>
                  <a:srgbClr val="00B050"/>
                </a:solidFill>
              </a:ln>
            </c:spPr>
          </c:marker>
          <c:xVal>
            <c:numRef>
              <c:f>Calc!$H$55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Calc!$J$55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579-4E60-B2E9-CDCEDB418652}"/>
            </c:ext>
          </c:extLst>
        </c:ser>
        <c:ser>
          <c:idx val="7"/>
          <c:order val="7"/>
          <c:tx>
            <c:v>Median</c:v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66FF33"/>
              </a:solidFill>
              <a:ln w="12700">
                <a:solidFill>
                  <a:srgbClr val="FF0000"/>
                </a:solidFill>
              </a:ln>
            </c:spPr>
          </c:marker>
          <c:xVal>
            <c:numRef>
              <c:f>Calc!$H$56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Calc!$J$56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579-4E60-B2E9-CDCEDB418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28800"/>
        <c:axId val="160829376"/>
      </c:scatterChart>
      <c:valAx>
        <c:axId val="160828800"/>
        <c:scaling>
          <c:orientation val="minMax"/>
        </c:scaling>
        <c:delete val="0"/>
        <c:axPos val="b"/>
        <c:title>
          <c:tx>
            <c:strRef>
              <c:f>Calc!$A$31</c:f>
              <c:strCache>
                <c:ptCount val="1"/>
                <c:pt idx="0">
                  <c:v>Peer groups' result</c:v>
                </c:pt>
              </c:strCache>
            </c:strRef>
          </c:tx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0829376"/>
        <c:crosses val="autoZero"/>
        <c:crossBetween val="midCat"/>
      </c:valAx>
      <c:valAx>
        <c:axId val="160829376"/>
        <c:scaling>
          <c:orientation val="minMax"/>
        </c:scaling>
        <c:delete val="0"/>
        <c:axPos val="l"/>
        <c:title>
          <c:tx>
            <c:strRef>
              <c:f>Calc!$A$39</c:f>
              <c:strCache>
                <c:ptCount val="1"/>
                <c:pt idx="0">
                  <c:v>Differences (Lab - Peers)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0828800"/>
        <c:crosses val="autoZero"/>
        <c:crossBetween val="midCat"/>
      </c:valAx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0.15"/>
          <c:y val="0.68452320693576885"/>
          <c:w val="0.33531373031496065"/>
          <c:h val="0.2391429197384329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43000874890642E-2"/>
          <c:y val="7.6096918753323445E-2"/>
          <c:w val="0.86693066491688564"/>
          <c:h val="0.7020050328760456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Calc!$Y$4:$Y$84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Calc!$Z$4:$Z$84</c:f>
              <c:numCache>
                <c:formatCode>General</c:formatCode>
                <c:ptCount val="81"/>
                <c:pt idx="0">
                  <c:v>3.3457556441221346E-4</c:v>
                </c:pt>
                <c:pt idx="1">
                  <c:v>4.9663867848193186E-4</c:v>
                </c:pt>
                <c:pt idx="2">
                  <c:v>7.2986731447865073E-4</c:v>
                </c:pt>
                <c:pt idx="3">
                  <c:v>1.0619506763768786E-3</c:v>
                </c:pt>
                <c:pt idx="4">
                  <c:v>1.5297548252844299E-3</c:v>
                </c:pt>
                <c:pt idx="5">
                  <c:v>2.1817067376144004E-3</c:v>
                </c:pt>
                <c:pt idx="6">
                  <c:v>3.0805479211825498E-3</c:v>
                </c:pt>
                <c:pt idx="7">
                  <c:v>4.3064223476342034E-3</c:v>
                </c:pt>
                <c:pt idx="8">
                  <c:v>5.9602205036621012E-3</c:v>
                </c:pt>
                <c:pt idx="9">
                  <c:v>8.1670476404997975E-3</c:v>
                </c:pt>
                <c:pt idx="10">
                  <c:v>1.1079621029845018E-2</c:v>
                </c:pt>
                <c:pt idx="11">
                  <c:v>1.4881331049439636E-2</c:v>
                </c:pt>
                <c:pt idx="12">
                  <c:v>1.9788628957449921E-2</c:v>
                </c:pt>
                <c:pt idx="13">
                  <c:v>2.6052337036056479E-2</c:v>
                </c:pt>
                <c:pt idx="14">
                  <c:v>3.3957423084214039E-2</c:v>
                </c:pt>
                <c:pt idx="15">
                  <c:v>4.3820751233921353E-2</c:v>
                </c:pt>
                <c:pt idx="16">
                  <c:v>5.5986325737107254E-2</c:v>
                </c:pt>
                <c:pt idx="17">
                  <c:v>7.0817594354002977E-2</c:v>
                </c:pt>
                <c:pt idx="18">
                  <c:v>8.8686482115578572E-2</c:v>
                </c:pt>
                <c:pt idx="19">
                  <c:v>0.109958989951068</c:v>
                </c:pt>
                <c:pt idx="20">
                  <c:v>0.13497741628297016</c:v>
                </c:pt>
                <c:pt idx="21">
                  <c:v>0.16403953693669152</c:v>
                </c:pt>
                <c:pt idx="22">
                  <c:v>0.19737539575223539</c:v>
                </c:pt>
                <c:pt idx="23">
                  <c:v>0.2351226934422174</c:v>
                </c:pt>
                <c:pt idx="24">
                  <c:v>0.27730208669863887</c:v>
                </c:pt>
                <c:pt idx="25">
                  <c:v>0.3237939891647294</c:v>
                </c:pt>
                <c:pt idx="26">
                  <c:v>0.37431866408936221</c:v>
                </c:pt>
                <c:pt idx="27">
                  <c:v>0.42842148011951842</c:v>
                </c:pt>
                <c:pt idx="28">
                  <c:v>0.48546513745803244</c:v>
                </c:pt>
                <c:pt idx="29">
                  <c:v>0.54463044258137638</c:v>
                </c:pt>
                <c:pt idx="30">
                  <c:v>0.60492681129785841</c:v>
                </c:pt>
                <c:pt idx="31">
                  <c:v>0.6652131247468871</c:v>
                </c:pt>
                <c:pt idx="32">
                  <c:v>0.72422888190370682</c:v>
                </c:pt>
                <c:pt idx="33">
                  <c:v>0.78063483341690321</c:v>
                </c:pt>
                <c:pt idx="34">
                  <c:v>0.83306150722949923</c:v>
                </c:pt>
                <c:pt idx="35">
                  <c:v>0.88016331691074889</c:v>
                </c:pt>
                <c:pt idx="36">
                  <c:v>0.92067535075830842</c:v>
                </c:pt>
                <c:pt idx="37">
                  <c:v>0.95346953865131046</c:v>
                </c:pt>
                <c:pt idx="38">
                  <c:v>0.97760673493863981</c:v>
                </c:pt>
                <c:pt idx="39">
                  <c:v>0.99238136869252958</c:v>
                </c:pt>
                <c:pt idx="40">
                  <c:v>0.99735570100358184</c:v>
                </c:pt>
                <c:pt idx="41">
                  <c:v>0.99238136869252958</c:v>
                </c:pt>
                <c:pt idx="42">
                  <c:v>0.97760673493863981</c:v>
                </c:pt>
                <c:pt idx="43">
                  <c:v>0.95346953865131046</c:v>
                </c:pt>
                <c:pt idx="44">
                  <c:v>0.92067535075830842</c:v>
                </c:pt>
                <c:pt idx="45">
                  <c:v>0.88016331691074889</c:v>
                </c:pt>
                <c:pt idx="46">
                  <c:v>0.83306150722949923</c:v>
                </c:pt>
                <c:pt idx="47">
                  <c:v>0.78063483341690321</c:v>
                </c:pt>
                <c:pt idx="48">
                  <c:v>0.72422888190370682</c:v>
                </c:pt>
                <c:pt idx="49">
                  <c:v>0.6652131247468871</c:v>
                </c:pt>
                <c:pt idx="50">
                  <c:v>0.60492681129785841</c:v>
                </c:pt>
                <c:pt idx="51">
                  <c:v>0.54463044258137638</c:v>
                </c:pt>
                <c:pt idx="52">
                  <c:v>0.48546513745803244</c:v>
                </c:pt>
                <c:pt idx="53">
                  <c:v>0.42842148011951842</c:v>
                </c:pt>
                <c:pt idx="54">
                  <c:v>0.37431866408936221</c:v>
                </c:pt>
                <c:pt idx="55">
                  <c:v>0.32379398916472452</c:v>
                </c:pt>
                <c:pt idx="56">
                  <c:v>0.27730208669863887</c:v>
                </c:pt>
                <c:pt idx="57">
                  <c:v>0.2351226934422174</c:v>
                </c:pt>
                <c:pt idx="58">
                  <c:v>0.19737539575223184</c:v>
                </c:pt>
                <c:pt idx="59">
                  <c:v>0.16403953693668841</c:v>
                </c:pt>
                <c:pt idx="60">
                  <c:v>0.13497741628296739</c:v>
                </c:pt>
                <c:pt idx="61">
                  <c:v>0.109958989951068</c:v>
                </c:pt>
                <c:pt idx="62">
                  <c:v>8.868648211557667E-2</c:v>
                </c:pt>
                <c:pt idx="63">
                  <c:v>7.0817594354001298E-2</c:v>
                </c:pt>
                <c:pt idx="64">
                  <c:v>5.5986325737105894E-2</c:v>
                </c:pt>
                <c:pt idx="65">
                  <c:v>4.3820751233920215E-2</c:v>
                </c:pt>
                <c:pt idx="66">
                  <c:v>3.3957423084213179E-2</c:v>
                </c:pt>
                <c:pt idx="67">
                  <c:v>2.6052337036055799E-2</c:v>
                </c:pt>
                <c:pt idx="68">
                  <c:v>1.9788628957449358E-2</c:v>
                </c:pt>
                <c:pt idx="69">
                  <c:v>1.48813310494392E-2</c:v>
                </c:pt>
                <c:pt idx="70">
                  <c:v>1.1079621029844685E-2</c:v>
                </c:pt>
                <c:pt idx="71">
                  <c:v>8.1670476404995512E-3</c:v>
                </c:pt>
                <c:pt idx="72">
                  <c:v>5.9602205036619164E-3</c:v>
                </c:pt>
                <c:pt idx="73">
                  <c:v>4.3064223476340577E-3</c:v>
                </c:pt>
                <c:pt idx="74">
                  <c:v>3.0805479211824431E-3</c:v>
                </c:pt>
                <c:pt idx="75">
                  <c:v>2.1817067376143232E-3</c:v>
                </c:pt>
                <c:pt idx="76">
                  <c:v>1.529754825284377E-3</c:v>
                </c:pt>
                <c:pt idx="77">
                  <c:v>1.06195067637684E-3</c:v>
                </c:pt>
                <c:pt idx="78">
                  <c:v>7.2986731447862287E-4</c:v>
                </c:pt>
                <c:pt idx="79">
                  <c:v>4.9663867848191191E-4</c:v>
                </c:pt>
                <c:pt idx="80">
                  <c:v>3.3457556441220034E-4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84-4693-9AE7-C800D88DDF46}"/>
            </c:ext>
          </c:extLst>
        </c:ser>
        <c:ser>
          <c:idx val="1"/>
          <c:order val="1"/>
          <c:tx>
            <c:v>Your average bias (z-score)</c:v>
          </c:tx>
          <c:spPr>
            <a:ln w="22225" cmpd="dbl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Calc!$H$3:$I$3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Calc!$H$4:$I$4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84-4693-9AE7-C800D88DDF46}"/>
            </c:ext>
          </c:extLst>
        </c:ser>
        <c:ser>
          <c:idx val="2"/>
          <c:order val="2"/>
          <c:tx>
            <c:v>Conf int neg</c:v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Calc!$G$2:$H$2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Calc!$H$4:$I$4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84-4693-9AE7-C800D88DDF46}"/>
            </c:ext>
          </c:extLst>
        </c:ser>
        <c:ser>
          <c:idx val="3"/>
          <c:order val="3"/>
          <c:tx>
            <c:v>conf interv pos</c:v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Calc!$I$2:$J$2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Calc!$H$4:$I$4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84-4693-9AE7-C800D88DD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832256"/>
        <c:axId val="160832832"/>
      </c:scatterChart>
      <c:valAx>
        <c:axId val="160832256"/>
        <c:scaling>
          <c:orientation val="minMax"/>
        </c:scaling>
        <c:delete val="0"/>
        <c:axPos val="b"/>
        <c:title>
          <c:tx>
            <c:strRef>
              <c:f>Calc!$A$30</c:f>
              <c:strCache>
                <c:ptCount val="1"/>
                <c:pt idx="0">
                  <c:v>Mean z-score ±tcrit x SEM</c:v>
                </c:pt>
              </c:strCache>
            </c:strRef>
          </c:tx>
          <c:layout>
            <c:manualLayout>
              <c:xMode val="edge"/>
              <c:yMode val="edge"/>
              <c:x val="0.35941688649120374"/>
              <c:y val="0.88909512173047334"/>
            </c:manualLayout>
          </c:layout>
          <c:overlay val="0"/>
          <c:txPr>
            <a:bodyPr/>
            <a:lstStyle/>
            <a:p>
              <a:pPr>
                <a:defRPr sz="10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0832832"/>
        <c:crosses val="autoZero"/>
        <c:crossBetween val="midCat"/>
      </c:valAx>
      <c:valAx>
        <c:axId val="160832832"/>
        <c:scaling>
          <c:orientation val="minMax"/>
          <c:max val="1.05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0832256"/>
        <c:crossesAt val="0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Calc!$A$34</c:f>
          <c:strCache>
            <c:ptCount val="1"/>
            <c:pt idx="0">
              <c:v>Diff and u for Lab &amp; Peer values</c:v>
            </c:pt>
          </c:strCache>
        </c:strRef>
      </c:tx>
      <c:layout>
        <c:manualLayout>
          <c:xMode val="edge"/>
          <c:yMode val="edge"/>
          <c:x val="0.22218112887404223"/>
          <c:y val="3.1007732425055258E-2"/>
        </c:manualLayout>
      </c:layout>
      <c:overlay val="1"/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43285214348307"/>
          <c:y val="0.14659679485456886"/>
          <c:w val="0.62662701736751092"/>
          <c:h val="0.69294795854445701"/>
        </c:manualLayout>
      </c:layout>
      <c:scatterChart>
        <c:scatterStyle val="lineMarker"/>
        <c:varyColors val="0"/>
        <c:ser>
          <c:idx val="1"/>
          <c:order val="1"/>
          <c:tx>
            <c:v>Abs diff</c:v>
          </c:tx>
          <c:spPr>
            <a:ln w="9525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trendline>
            <c:spPr>
              <a:ln>
                <a:solidFill>
                  <a:srgbClr val="0000FF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Input!$C$10:$C$29</c:f>
              <c:numCache>
                <c:formatCode>General</c:formatCode>
                <c:ptCount val="20"/>
              </c:numCache>
            </c:numRef>
          </c:xVal>
          <c:yVal>
            <c:numRef>
              <c:f>Input!$AB$10:$AB$29</c:f>
              <c:numCache>
                <c:formatCode>General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CD-4EE5-BA65-7E981444D26C}"/>
            </c:ext>
          </c:extLst>
        </c:ser>
        <c:ser>
          <c:idx val="2"/>
          <c:order val="2"/>
          <c:tx>
            <c:v>B-A limits</c:v>
          </c:tx>
          <c:spPr>
            <a:ln w="12700">
              <a:solidFill>
                <a:srgbClr val="0066FF"/>
              </a:solidFill>
              <a:prstDash val="dashDot"/>
            </a:ln>
          </c:spPr>
          <c:marker>
            <c:symbol val="none"/>
          </c:marker>
          <c:xVal>
            <c:numRef>
              <c:f>Calc!$C$14:$C$15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Calc!$B$26:$C$26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CD-4EE5-BA65-7E981444D26C}"/>
            </c:ext>
          </c:extLst>
        </c:ser>
        <c:ser>
          <c:idx val="3"/>
          <c:order val="3"/>
          <c:tx>
            <c:v>B-A limits 2</c:v>
          </c:tx>
          <c:spPr>
            <a:ln w="12700">
              <a:solidFill>
                <a:srgbClr val="0066FF"/>
              </a:solidFill>
              <a:prstDash val="dashDot"/>
            </a:ln>
          </c:spPr>
          <c:marker>
            <c:symbol val="none"/>
          </c:marker>
          <c:xVal>
            <c:numRef>
              <c:f>Calc!$C$18:$C$19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Calc!$D$26:$E$26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CD-4EE5-BA65-7E981444D26C}"/>
            </c:ext>
          </c:extLst>
        </c:ser>
        <c:ser>
          <c:idx val="4"/>
          <c:order val="4"/>
          <c:tx>
            <c:v>Average diff</c:v>
          </c:tx>
          <c:spPr>
            <a:ln w="12700">
              <a:solidFill>
                <a:srgbClr val="0066FF"/>
              </a:solidFill>
            </a:ln>
          </c:spPr>
          <c:marker>
            <c:symbol val="none"/>
          </c:marker>
          <c:xVal>
            <c:numRef>
              <c:f>Calc!$C$18:$C$19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Calc!$C$24:$D$24</c:f>
              <c:numCache>
                <c:formatCode>0.00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CD-4EE5-BA65-7E981444D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74240"/>
        <c:axId val="161474816"/>
      </c:scatterChart>
      <c:scatterChart>
        <c:scatterStyle val="lineMarker"/>
        <c:varyColors val="0"/>
        <c:ser>
          <c:idx val="0"/>
          <c:order val="0"/>
          <c:tx>
            <c:v>Standard dev</c:v>
          </c:tx>
          <c:spPr>
            <a:ln w="9525">
              <a:noFill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trendline>
            <c:spPr>
              <a:ln>
                <a:solidFill>
                  <a:srgbClr val="FF0000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Input!$C$10:$C$29</c:f>
              <c:numCache>
                <c:formatCode>General</c:formatCode>
                <c:ptCount val="20"/>
              </c:numCache>
            </c:numRef>
          </c:xVal>
          <c:yVal>
            <c:numRef>
              <c:f>Input!$AA$10:$AA$20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CD-4EE5-BA65-7E981444D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75392"/>
        <c:axId val="161476544"/>
      </c:scatterChart>
      <c:valAx>
        <c:axId val="161474240"/>
        <c:scaling>
          <c:orientation val="minMax"/>
        </c:scaling>
        <c:delete val="0"/>
        <c:axPos val="b"/>
        <c:title>
          <c:tx>
            <c:strRef>
              <c:f>Calc!$A$31</c:f>
              <c:strCache>
                <c:ptCount val="1"/>
                <c:pt idx="0">
                  <c:v>Peer groups' result</c:v>
                </c:pt>
              </c:strCache>
            </c:strRef>
          </c:tx>
          <c:layout>
            <c:manualLayout>
              <c:xMode val="edge"/>
              <c:yMode val="edge"/>
              <c:x val="0.38589914897001515"/>
              <c:y val="0.91199562290363256"/>
            </c:manualLayout>
          </c:layout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1474816"/>
        <c:crosses val="autoZero"/>
        <c:crossBetween val="midCat"/>
      </c:valAx>
      <c:valAx>
        <c:axId val="161474816"/>
        <c:scaling>
          <c:orientation val="minMax"/>
        </c:scaling>
        <c:delete val="0"/>
        <c:axPos val="l"/>
        <c:title>
          <c:tx>
            <c:strRef>
              <c:f>Calc!$A$32</c:f>
              <c:strCache>
                <c:ptCount val="1"/>
                <c:pt idx="0">
                  <c:v>Diff: (Lab - Peer) values</c:v>
                </c:pt>
              </c:strCache>
            </c:strRef>
          </c:tx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0000FF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FF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1474240"/>
        <c:crosses val="autoZero"/>
        <c:crossBetween val="midCat"/>
      </c:valAx>
      <c:valAx>
        <c:axId val="161475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1476544"/>
        <c:crosses val="autoZero"/>
        <c:crossBetween val="midCat"/>
      </c:valAx>
      <c:valAx>
        <c:axId val="161476544"/>
        <c:scaling>
          <c:orientation val="minMax"/>
        </c:scaling>
        <c:delete val="0"/>
        <c:axPos val="r"/>
        <c:title>
          <c:tx>
            <c:strRef>
              <c:f>Calc!$A$33</c:f>
              <c:strCache>
                <c:ptCount val="1"/>
                <c:pt idx="0">
                  <c:v>SEM of Peers</c:v>
                </c:pt>
              </c:strCache>
            </c:strRef>
          </c:tx>
          <c:layout>
            <c:manualLayout>
              <c:xMode val="edge"/>
              <c:yMode val="edge"/>
              <c:x val="0.92584267875606452"/>
              <c:y val="0.30169897947046664"/>
            </c:manualLayout>
          </c:layout>
          <c:overlay val="0"/>
          <c:txPr>
            <a:bodyPr/>
            <a:lstStyle/>
            <a:p>
              <a:pPr>
                <a:defRPr sz="12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1475392"/>
        <c:crosses val="max"/>
        <c:crossBetween val="midCat"/>
      </c:valAx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2.4617036506800274E-2"/>
          <c:y val="0.84763866752305506"/>
          <c:w val="0.32464752511996608"/>
          <c:h val="0.12244038981532145"/>
        </c:manualLayout>
      </c:layout>
      <c:overlay val="0"/>
      <c:spPr>
        <a:ln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101600</xdr:colOff>
      <xdr:row>22</xdr:row>
      <xdr:rowOff>25400</xdr:rowOff>
    </xdr:from>
    <xdr:to>
      <xdr:col>29</xdr:col>
      <xdr:colOff>12700</xdr:colOff>
      <xdr:row>36</xdr:row>
      <xdr:rowOff>168275</xdr:rowOff>
    </xdr:to>
    <xdr:graphicFrame macro="">
      <xdr:nvGraphicFramePr>
        <xdr:cNvPr id="1177" name="Chart 3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504825</xdr:colOff>
      <xdr:row>34</xdr:row>
      <xdr:rowOff>180975</xdr:rowOff>
    </xdr:from>
    <xdr:to>
      <xdr:col>5</xdr:col>
      <xdr:colOff>190500</xdr:colOff>
      <xdr:row>51</xdr:row>
      <xdr:rowOff>27</xdr:rowOff>
    </xdr:to>
    <xdr:graphicFrame macro="">
      <xdr:nvGraphicFramePr>
        <xdr:cNvPr id="1186" name="Chart 4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409575</xdr:colOff>
      <xdr:row>34</xdr:row>
      <xdr:rowOff>206292</xdr:rowOff>
    </xdr:from>
    <xdr:to>
      <xdr:col>14</xdr:col>
      <xdr:colOff>66675</xdr:colOff>
      <xdr:row>51</xdr:row>
      <xdr:rowOff>28575</xdr:rowOff>
    </xdr:to>
    <xdr:graphicFrame macro="">
      <xdr:nvGraphicFramePr>
        <xdr:cNvPr id="1187" name="Chart 8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142877</xdr:colOff>
      <xdr:row>7</xdr:row>
      <xdr:rowOff>105339</xdr:rowOff>
    </xdr:from>
    <xdr:to>
      <xdr:col>35</xdr:col>
      <xdr:colOff>584201</xdr:colOff>
      <xdr:row>21</xdr:row>
      <xdr:rowOff>173184</xdr:rowOff>
    </xdr:to>
    <xdr:grpSp>
      <xdr:nvGrpSpPr>
        <xdr:cNvPr id="1179" name="Group 9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GrpSpPr>
          <a:grpSpLocks/>
        </xdr:cNvGrpSpPr>
      </xdr:nvGrpSpPr>
      <xdr:grpSpPr bwMode="auto">
        <a:xfrm>
          <a:off x="18545177" y="1508690"/>
          <a:ext cx="4206875" cy="3033294"/>
          <a:chOff x="14809514" y="1490438"/>
          <a:chExt cx="3590925" cy="3050659"/>
        </a:xfrm>
      </xdr:grpSpPr>
      <xdr:graphicFrame macro="">
        <xdr:nvGraphicFramePr>
          <xdr:cNvPr id="1184" name="Chart 1">
            <a:extLst>
              <a:ext uri="{FF2B5EF4-FFF2-40B4-BE49-F238E27FC236}">
                <a16:creationId xmlns:a16="http://schemas.microsoft.com/office/drawing/2014/main" id="{00000000-0008-0000-0000-0000A0040000}"/>
              </a:ext>
            </a:extLst>
          </xdr:cNvPr>
          <xdr:cNvGraphicFramePr>
            <a:graphicFrameLocks/>
          </xdr:cNvGraphicFramePr>
        </xdr:nvGraphicFramePr>
        <xdr:xfrm>
          <a:off x="14809514" y="1490438"/>
          <a:ext cx="3590925" cy="305065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$F$7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14903080" y="1570498"/>
            <a:ext cx="970275" cy="2105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accent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fld id="{FFB436DC-DF7C-486E-B753-A0E4E8EA8263}" type="TxLink">
              <a:rPr lang="en-US" sz="1200"/>
              <a:pPr/>
              <a:t>Measurand</a:t>
            </a:fld>
            <a:endParaRPr lang="en-US" sz="1200"/>
          </a:p>
        </xdr:txBody>
      </xdr:sp>
    </xdr:grpSp>
    <xdr:clientData/>
  </xdr:twoCellAnchor>
  <xdr:twoCellAnchor>
    <xdr:from>
      <xdr:col>3</xdr:col>
      <xdr:colOff>177800</xdr:colOff>
      <xdr:row>35</xdr:row>
      <xdr:rowOff>38100</xdr:rowOff>
    </xdr:from>
    <xdr:to>
      <xdr:col>5</xdr:col>
      <xdr:colOff>152400</xdr:colOff>
      <xdr:row>36</xdr:row>
      <xdr:rowOff>12700</xdr:rowOff>
    </xdr:to>
    <xdr:sp macro="" textlink="Input!$F$7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21000" y="7467600"/>
          <a:ext cx="96520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1CB2F725-1EF4-4431-8AAA-0B762698B210}" type="TxLink">
            <a:rPr lang="en-US" sz="1200"/>
            <a:pPr/>
            <a:t>Measurand</a:t>
          </a:fld>
          <a:endParaRPr lang="en-US" sz="1200"/>
        </a:p>
      </xdr:txBody>
    </xdr:sp>
    <xdr:clientData/>
  </xdr:twoCellAnchor>
  <xdr:twoCellAnchor>
    <xdr:from>
      <xdr:col>23</xdr:col>
      <xdr:colOff>111126</xdr:colOff>
      <xdr:row>7</xdr:row>
      <xdr:rowOff>82549</xdr:rowOff>
    </xdr:from>
    <xdr:to>
      <xdr:col>29</xdr:col>
      <xdr:colOff>25401</xdr:colOff>
      <xdr:row>21</xdr:row>
      <xdr:rowOff>161924</xdr:rowOff>
    </xdr:to>
    <xdr:grpSp>
      <xdr:nvGrpSpPr>
        <xdr:cNvPr id="1181" name="Group 1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GrpSpPr>
          <a:grpSpLocks/>
        </xdr:cNvGrpSpPr>
      </xdr:nvGrpSpPr>
      <xdr:grpSpPr bwMode="auto">
        <a:xfrm>
          <a:off x="14189077" y="1485900"/>
          <a:ext cx="4238624" cy="3044824"/>
          <a:chOff x="10970495" y="1452076"/>
          <a:chExt cx="3733800" cy="3155950"/>
        </a:xfrm>
      </xdr:grpSpPr>
      <xdr:graphicFrame macro="">
        <xdr:nvGraphicFramePr>
          <xdr:cNvPr id="1182" name="Chart 2">
            <a:extLst>
              <a:ext uri="{FF2B5EF4-FFF2-40B4-BE49-F238E27FC236}">
                <a16:creationId xmlns:a16="http://schemas.microsoft.com/office/drawing/2014/main" id="{00000000-0008-0000-0000-00009E040000}"/>
              </a:ext>
            </a:extLst>
          </xdr:cNvPr>
          <xdr:cNvGraphicFramePr>
            <a:graphicFrameLocks/>
          </xdr:cNvGraphicFramePr>
        </xdr:nvGraphicFramePr>
        <xdr:xfrm>
          <a:off x="10970495" y="1452076"/>
          <a:ext cx="3733800" cy="31559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Calc!A41">
        <xdr:nvSpPr>
          <xdr:cNvPr id="11" name="TextBox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3655856" y="4336657"/>
            <a:ext cx="907455" cy="22883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fld id="{284CA51A-DF4C-4CEA-A1C5-039E288131F6}" type="TxLink">
              <a:rPr lang="en-US" sz="1100" b="0" i="0" u="none" strike="noStrike">
                <a:solidFill>
                  <a:srgbClr val="FF0000"/>
                </a:solidFill>
                <a:latin typeface="Calibri"/>
              </a:rPr>
              <a:pPr algn="ctr"/>
              <a:t>Peers</a:t>
            </a:fld>
            <a:endParaRPr lang="en-US" sz="11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30</xdr:col>
      <xdr:colOff>533400</xdr:colOff>
      <xdr:row>28</xdr:row>
      <xdr:rowOff>190500</xdr:rowOff>
    </xdr:from>
    <xdr:to>
      <xdr:col>35</xdr:col>
      <xdr:colOff>431800</xdr:colOff>
      <xdr:row>32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868900" y="6083300"/>
          <a:ext cx="32258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200" b="1">
              <a:solidFill>
                <a:srgbClr val="FF0000"/>
              </a:solidFill>
            </a:rPr>
            <a:t>NB </a:t>
          </a:r>
          <a:r>
            <a:rPr lang="sv-SE" sz="1200" b="1">
              <a:solidFill>
                <a:sysClr val="windowText" lastClr="000000"/>
              </a:solidFill>
            </a:rPr>
            <a:t>By</a:t>
          </a:r>
          <a:r>
            <a:rPr lang="sv-SE" sz="1200" b="1" baseline="0">
              <a:solidFill>
                <a:sysClr val="windowText" lastClr="000000"/>
              </a:solidFill>
            </a:rPr>
            <a:t> default, the scales of the axes are set to AUTO. Pleawe optimize by standard Excel  procedures!</a:t>
          </a:r>
          <a:endParaRPr lang="sv-SE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0.77778</cdr:x>
      <cdr:y>0.89209</cdr:y>
    </cdr:from>
    <cdr:to>
      <cdr:x>0.97455</cdr:x>
      <cdr:y>0.96197</cdr:y>
    </cdr:to>
    <cdr:sp macro="" textlink="Calc!$A$42">
      <cdr:nvSpPr>
        <cdr:cNvPr id="2" name="TextBox 1"/>
        <cdr:cNvSpPr txBox="1"/>
      </cdr:nvSpPr>
      <cdr:spPr>
        <a:xfrm xmlns:a="http://schemas.openxmlformats.org/drawingml/2006/main">
          <a:off x="2911475" y="2755900"/>
          <a:ext cx="736600" cy="2159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bg1">
              <a:lumMod val="85000"/>
            </a:schemeClr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8B42766D-CFA4-46A4-8087-E803EB79450E}" type="TxLink">
            <a:rPr lang="en-US" sz="1100" b="0" i="0" u="none" strike="noStrike">
              <a:solidFill>
                <a:srgbClr val="FF0000"/>
              </a:solidFill>
              <a:latin typeface="Calibri"/>
            </a:rPr>
            <a:pPr algn="ctr"/>
            <a:t>Labs</a:t>
          </a:fld>
          <a:endParaRPr lang="en-US" sz="1100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0.75859</cdr:x>
      <cdr:y>0.02815</cdr:y>
    </cdr:from>
    <cdr:to>
      <cdr:x>0.99297</cdr:x>
      <cdr:y>0.09495</cdr:y>
    </cdr:to>
    <cdr:sp macro="" textlink="Input!$F$7">
      <cdr:nvSpPr>
        <cdr:cNvPr id="2" name="TextBox 1"/>
        <cdr:cNvSpPr txBox="1"/>
      </cdr:nvSpPr>
      <cdr:spPr>
        <a:xfrm xmlns:a="http://schemas.openxmlformats.org/drawingml/2006/main">
          <a:off x="3082910" y="93669"/>
          <a:ext cx="952520" cy="22227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CCB0669-1E8C-4FE4-AF41-CED9401D1901}" type="TxLink">
            <a:rPr lang="en-US" sz="1200"/>
            <a:pPr/>
            <a:t>Measurand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ders.kallner@ki.s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62"/>
  <sheetViews>
    <sheetView tabSelected="1" topLeftCell="A2" zoomScale="75" zoomScaleNormal="75" workbookViewId="0">
      <selection activeCell="N16" sqref="N16"/>
    </sheetView>
  </sheetViews>
  <sheetFormatPr defaultColWidth="9.1328125" defaultRowHeight="14.25" x14ac:dyDescent="0.45"/>
  <cols>
    <col min="1" max="1" width="7.73046875" style="4" customWidth="1"/>
    <col min="2" max="2" width="25.86328125" style="4" customWidth="1"/>
    <col min="3" max="3" width="8.59765625" style="4" customWidth="1"/>
    <col min="4" max="7" width="7.3984375" style="4" customWidth="1"/>
    <col min="8" max="10" width="7.265625" style="4" customWidth="1"/>
    <col min="11" max="11" width="7.86328125" style="4" customWidth="1"/>
    <col min="12" max="12" width="7.265625" style="4" customWidth="1"/>
    <col min="13" max="15" width="7.265625" style="11" customWidth="1"/>
    <col min="16" max="16" width="9.73046875" style="11" customWidth="1"/>
    <col min="17" max="17" width="9.59765625" style="4" customWidth="1"/>
    <col min="18" max="19" width="8.59765625" style="4" customWidth="1"/>
    <col min="20" max="21" width="7.265625" style="4" customWidth="1"/>
    <col min="22" max="22" width="7.86328125" style="4" customWidth="1"/>
    <col min="23" max="23" width="7.265625" style="4" customWidth="1"/>
    <col min="24" max="24" width="11" style="4" customWidth="1"/>
    <col min="25" max="25" width="9.265625" style="4" bestFit="1" customWidth="1"/>
    <col min="26" max="26" width="9.59765625" style="4" customWidth="1"/>
    <col min="27" max="27" width="9.265625" style="4" bestFit="1" customWidth="1"/>
    <col min="28" max="28" width="10.86328125" style="4" customWidth="1"/>
    <col min="29" max="29" width="10.59765625" style="4" customWidth="1"/>
    <col min="30" max="30" width="2.86328125" style="4" customWidth="1"/>
    <col min="31" max="31" width="9.1328125" style="4"/>
    <col min="32" max="32" width="11.265625" style="4" customWidth="1"/>
    <col min="33" max="33" width="9.86328125" style="4" bestFit="1" customWidth="1"/>
    <col min="34" max="34" width="10.3984375" style="4" bestFit="1" customWidth="1"/>
    <col min="35" max="39" width="9.1328125" style="4"/>
    <col min="40" max="40" width="11.59765625" style="4" bestFit="1" customWidth="1"/>
    <col min="41" max="43" width="9.1328125" style="4"/>
    <col min="44" max="46" width="13.265625" style="4" bestFit="1" customWidth="1"/>
    <col min="47" max="47" width="12.1328125" style="4" bestFit="1" customWidth="1"/>
    <col min="48" max="48" width="13.3984375" style="4" bestFit="1" customWidth="1"/>
    <col min="49" max="16384" width="9.1328125" style="4"/>
  </cols>
  <sheetData>
    <row r="1" spans="1:53" ht="23.25" x14ac:dyDescent="0.7">
      <c r="B1" s="44" t="s">
        <v>34</v>
      </c>
      <c r="M1" s="6" t="s">
        <v>86</v>
      </c>
      <c r="N1" s="11" t="s">
        <v>157</v>
      </c>
    </row>
    <row r="2" spans="1:53" x14ac:dyDescent="0.45">
      <c r="B2" s="43" t="s">
        <v>29</v>
      </c>
      <c r="C2" s="242"/>
      <c r="D2" s="243"/>
      <c r="E2" s="244"/>
      <c r="G2" s="43" t="s">
        <v>31</v>
      </c>
      <c r="H2" s="143"/>
      <c r="I2" s="45"/>
      <c r="J2" s="47"/>
      <c r="K2" s="45"/>
      <c r="L2" s="46"/>
      <c r="Q2" s="11"/>
      <c r="R2" s="11"/>
      <c r="S2" s="11"/>
      <c r="T2" s="11"/>
    </row>
    <row r="3" spans="1:53" ht="14.65" thickBot="1" x14ac:dyDescent="0.5">
      <c r="A3" s="4" t="s">
        <v>137</v>
      </c>
      <c r="B3" s="43" t="s">
        <v>30</v>
      </c>
      <c r="C3" s="245"/>
      <c r="D3" s="246"/>
      <c r="E3" s="247"/>
      <c r="G3" s="43" t="s">
        <v>32</v>
      </c>
      <c r="H3" s="144"/>
      <c r="I3" s="49"/>
      <c r="J3" s="49"/>
      <c r="K3" s="49"/>
      <c r="L3" s="50"/>
      <c r="Q3" s="11"/>
      <c r="R3" s="196"/>
      <c r="S3" s="11"/>
      <c r="T3" s="11"/>
      <c r="Y3" s="128" t="s">
        <v>67</v>
      </c>
      <c r="Z3" s="129" t="s">
        <v>96</v>
      </c>
    </row>
    <row r="4" spans="1:53" x14ac:dyDescent="0.45">
      <c r="A4" s="4" t="s">
        <v>146</v>
      </c>
      <c r="G4" s="43" t="s">
        <v>33</v>
      </c>
      <c r="H4" s="48"/>
      <c r="I4" s="49"/>
      <c r="J4" s="49"/>
      <c r="K4" s="49"/>
      <c r="L4" s="50"/>
      <c r="Q4" s="11"/>
      <c r="R4" s="11"/>
      <c r="S4" s="11"/>
      <c r="T4" s="11"/>
      <c r="X4" s="116" t="s">
        <v>82</v>
      </c>
      <c r="Y4" s="127" t="s">
        <v>70</v>
      </c>
      <c r="Z4" s="77">
        <v>2</v>
      </c>
    </row>
    <row r="5" spans="1:53" x14ac:dyDescent="0.45">
      <c r="A5" s="4" t="s">
        <v>134</v>
      </c>
      <c r="H5" s="51"/>
      <c r="I5" s="52"/>
      <c r="J5" s="52"/>
      <c r="K5" s="52"/>
      <c r="L5" s="53"/>
      <c r="Q5" s="11"/>
      <c r="R5" s="11"/>
      <c r="S5" s="11"/>
      <c r="T5" s="11"/>
      <c r="X5" s="116" t="s">
        <v>97</v>
      </c>
      <c r="Y5" s="126" t="s">
        <v>70</v>
      </c>
      <c r="Z5" s="38"/>
      <c r="AA5" s="225"/>
      <c r="AB5" s="226" t="s">
        <v>151</v>
      </c>
      <c r="AC5" s="76" t="s">
        <v>69</v>
      </c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1"/>
      <c r="AR5" s="11"/>
      <c r="AS5" s="11"/>
      <c r="AT5" s="11"/>
      <c r="AU5" s="11"/>
      <c r="AV5" s="11"/>
      <c r="AW5" s="11"/>
      <c r="AX5" s="11"/>
      <c r="AY5" s="11"/>
      <c r="AZ5" s="6"/>
      <c r="BA5" s="6"/>
    </row>
    <row r="6" spans="1:53" x14ac:dyDescent="0.45">
      <c r="F6" s="112"/>
      <c r="G6" s="112"/>
      <c r="H6" s="112"/>
      <c r="Q6" s="11"/>
      <c r="R6" s="11"/>
      <c r="S6" s="11"/>
      <c r="T6" s="11"/>
      <c r="X6" s="116" t="s">
        <v>98</v>
      </c>
      <c r="Y6" s="126" t="s">
        <v>70</v>
      </c>
      <c r="Z6" s="224"/>
      <c r="AA6" s="224"/>
      <c r="AB6" s="227" t="s">
        <v>153</v>
      </c>
      <c r="AC6" s="76" t="s">
        <v>70</v>
      </c>
      <c r="AF6" s="11"/>
      <c r="AG6" s="11"/>
      <c r="AH6" s="11"/>
      <c r="AI6" s="11"/>
      <c r="AJ6" s="11"/>
      <c r="AK6" s="11"/>
      <c r="AL6" s="11"/>
      <c r="AM6" s="11"/>
      <c r="AN6" s="189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6"/>
      <c r="BA6" s="6"/>
    </row>
    <row r="7" spans="1:53" ht="14.65" thickBot="1" x14ac:dyDescent="0.5">
      <c r="D7" s="38"/>
      <c r="E7" s="39" t="s">
        <v>6</v>
      </c>
      <c r="F7" s="54" t="s">
        <v>147</v>
      </c>
      <c r="G7" s="119"/>
      <c r="L7" s="11"/>
      <c r="Q7" s="11"/>
      <c r="X7" s="116" t="s">
        <v>95</v>
      </c>
      <c r="Y7" s="126" t="s">
        <v>69</v>
      </c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11"/>
      <c r="AZ7" s="6"/>
      <c r="BA7" s="6"/>
    </row>
    <row r="8" spans="1:53" ht="15" thickTop="1" thickBot="1" x14ac:dyDescent="0.5">
      <c r="C8" s="251" t="s">
        <v>135</v>
      </c>
      <c r="D8" s="252"/>
      <c r="E8" s="252"/>
      <c r="F8" s="252"/>
      <c r="G8" s="253"/>
      <c r="H8" s="254" t="s">
        <v>136</v>
      </c>
      <c r="I8" s="255"/>
      <c r="J8" s="255"/>
      <c r="K8" s="255"/>
      <c r="L8" s="255"/>
      <c r="M8" s="255"/>
      <c r="N8" s="255"/>
      <c r="O8" s="255"/>
      <c r="P8" s="255"/>
      <c r="Q8" s="256"/>
      <c r="R8" s="248" t="s">
        <v>3</v>
      </c>
      <c r="S8" s="249"/>
      <c r="T8" s="249"/>
      <c r="U8" s="249"/>
      <c r="V8" s="249"/>
      <c r="W8" s="250"/>
      <c r="X8" s="190"/>
      <c r="Y8" s="191"/>
      <c r="Z8" s="191"/>
      <c r="AA8" s="191"/>
      <c r="AB8" s="191"/>
      <c r="AC8" s="191"/>
      <c r="AD8" s="191"/>
      <c r="AE8" s="6"/>
      <c r="AF8" s="230" t="s">
        <v>119</v>
      </c>
      <c r="AG8" s="231" t="e">
        <f>SUM(AS10:AS29)/SUM(AQ10:AQ29)</f>
        <v>#DIV/0!</v>
      </c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11"/>
      <c r="AZ8" s="6"/>
    </row>
    <row r="9" spans="1:53" ht="43.5" thickTop="1" thickBot="1" x14ac:dyDescent="0.5">
      <c r="A9" s="42" t="s">
        <v>5</v>
      </c>
      <c r="B9" s="182" t="s">
        <v>154</v>
      </c>
      <c r="C9" s="85" t="s">
        <v>129</v>
      </c>
      <c r="D9" s="85" t="s">
        <v>148</v>
      </c>
      <c r="E9" s="85" t="s">
        <v>149</v>
      </c>
      <c r="F9" s="208" t="s">
        <v>134</v>
      </c>
      <c r="G9" s="184" t="s">
        <v>19</v>
      </c>
      <c r="H9" s="72" t="s">
        <v>35</v>
      </c>
      <c r="I9" s="40" t="s">
        <v>36</v>
      </c>
      <c r="J9" s="40" t="s">
        <v>37</v>
      </c>
      <c r="K9" s="40" t="s">
        <v>38</v>
      </c>
      <c r="L9" s="40" t="s">
        <v>39</v>
      </c>
      <c r="M9" s="40" t="s">
        <v>40</v>
      </c>
      <c r="N9" s="40" t="s">
        <v>41</v>
      </c>
      <c r="O9" s="40" t="s">
        <v>42</v>
      </c>
      <c r="P9" s="40" t="s">
        <v>43</v>
      </c>
      <c r="Q9" s="62" t="s">
        <v>44</v>
      </c>
      <c r="R9" s="64" t="s">
        <v>47</v>
      </c>
      <c r="S9" s="61" t="s">
        <v>54</v>
      </c>
      <c r="T9" s="61" t="s">
        <v>138</v>
      </c>
      <c r="U9" s="37" t="s">
        <v>2</v>
      </c>
      <c r="V9" s="37" t="s">
        <v>20</v>
      </c>
      <c r="W9" s="176" t="s">
        <v>21</v>
      </c>
      <c r="X9" s="210" t="s">
        <v>152</v>
      </c>
      <c r="Y9" s="210" t="str">
        <f>IF(AC6="N","CV % Labs","rel SEM %")</f>
        <v>rel SEM %</v>
      </c>
      <c r="Z9" s="211" t="s">
        <v>155</v>
      </c>
      <c r="AA9" s="212" t="str">
        <f>IF(AC5="Y","s(P)","SEM" )</f>
        <v>SEM</v>
      </c>
      <c r="AB9" s="212" t="s">
        <v>59</v>
      </c>
      <c r="AC9" s="212" t="s">
        <v>60</v>
      </c>
      <c r="AD9" s="214"/>
      <c r="AE9" s="194"/>
      <c r="AF9" s="232" t="s">
        <v>143</v>
      </c>
      <c r="AG9" s="232">
        <v>2</v>
      </c>
      <c r="AH9" s="232">
        <v>3</v>
      </c>
      <c r="AI9" s="232">
        <v>4</v>
      </c>
      <c r="AJ9" s="232">
        <v>5</v>
      </c>
      <c r="AK9" s="232">
        <v>6</v>
      </c>
      <c r="AL9" s="232">
        <v>7</v>
      </c>
      <c r="AM9" s="232">
        <v>8</v>
      </c>
      <c r="AN9" s="232">
        <v>9</v>
      </c>
      <c r="AO9" s="232">
        <v>10</v>
      </c>
      <c r="AP9" s="228"/>
      <c r="AQ9" s="233" t="s">
        <v>102</v>
      </c>
      <c r="AR9" s="233" t="s">
        <v>103</v>
      </c>
      <c r="AS9" s="233" t="s">
        <v>120</v>
      </c>
      <c r="AT9" s="233" t="s">
        <v>104</v>
      </c>
      <c r="AU9" s="233"/>
      <c r="AV9" s="233" t="s">
        <v>105</v>
      </c>
      <c r="AW9" s="234"/>
      <c r="AX9" s="228"/>
      <c r="AY9" s="75"/>
      <c r="AZ9" s="6"/>
      <c r="BA9" s="6"/>
    </row>
    <row r="10" spans="1:53" s="5" customFormat="1" ht="15" customHeight="1" x14ac:dyDescent="0.45">
      <c r="A10" s="8">
        <v>1</v>
      </c>
      <c r="B10" s="180"/>
      <c r="C10" s="83"/>
      <c r="D10" s="202" t="s">
        <v>137</v>
      </c>
      <c r="E10" s="183"/>
      <c r="F10" s="204" t="str">
        <f>IF(ISBLANK(C10),"",IF(AND(D10="s(P)",ISNUMBER(G10)),E10/SQRT(G10),IF(AND(ISNUMBER(G10),D10="%CV"),E10*C10/(100*SQRT(G10)),IF(D10="SEM",E10,"Check"))))</f>
        <v/>
      </c>
      <c r="G10" s="185"/>
      <c r="H10" s="73"/>
      <c r="I10" s="9"/>
      <c r="J10" s="55"/>
      <c r="K10" s="55"/>
      <c r="L10" s="55"/>
      <c r="M10" s="55"/>
      <c r="N10" s="55"/>
      <c r="O10" s="55"/>
      <c r="P10" s="9"/>
      <c r="Q10" s="9"/>
      <c r="R10" s="65" t="str">
        <f>IF(COUNT(H10:Q10)=0,"",IF(AND(ISBLANK(F10),ISBLANK(#REF!)),0,IF(COUNT(H10:Q10)=1,0,IF(ISNUMBER(C10),COUNT(H10:Q10),0))))</f>
        <v/>
      </c>
      <c r="S10" s="110" t="str">
        <f t="shared" ref="S10:S29" si="0">IF(OR(COUNT(H10:Q10)&lt;2,ISBLANK(C10),ISBLANK($F$7)),"",AVERAGE(H10:Q10))</f>
        <v/>
      </c>
      <c r="T10" s="130" t="str">
        <f t="shared" ref="T10:T29" si="1">IF(OR(COUNT(H10:Q10)&lt;2,ISBLANK(C10),ISBLANK($F$7)),"",STDEV(H10:Q10))</f>
        <v/>
      </c>
      <c r="U10" s="35" t="str">
        <f>IF(OR(COUNT(H10:Q10)&lt;2,ISBLANK($F$7),ISBLANK(C10)),"",(S10-C10)/X10)</f>
        <v/>
      </c>
      <c r="V10" s="7" t="str">
        <f t="shared" ref="V10:V29" si="2">IF(OR(COUNT(H10:Q10)&lt;2,ISBLANK($F$7),ISBLANK(C10)),"",S10-C10)</f>
        <v/>
      </c>
      <c r="W10" s="177" t="str">
        <f t="shared" ref="W10:W29" si="3">IF(OR(COUNT(H10:Q10)&lt;2,ISBLANK($F$7),ISBLANK(C10)),"",V10*100/C10)</f>
        <v/>
      </c>
      <c r="X10" s="209" t="e">
        <f>IF(OR(ISBLANK($F$7),ISBLANK(C10),COUNT(H10:Q10)&lt;2),NA(),IF(D10="s(P)",E10, IF(D10="%CV",E10/100*C10,IF(D10="SEM",F10*SQRT(G10),""))))</f>
        <v>#N/A</v>
      </c>
      <c r="Y10" s="209" t="e">
        <f>IF(ISBLANK(C10),NA(),IF($Y$6="N",NA(),IF($AC$6="N",100*F10/C10,100*T10/S10)))</f>
        <v>#N/A</v>
      </c>
      <c r="Z10" s="213" t="e">
        <f>IF(OR(COUNT(H10:Q10)&lt;2,ISBLANK(C10)),NA(),IF(V10&lt;0,T10*(1),T10))</f>
        <v>#N/A</v>
      </c>
      <c r="AA10" s="213" t="str">
        <f t="shared" ref="AA10:AA29" si="4">IF($Y$5="N",NA(),IF($AC$5="Y",Z10,F10))</f>
        <v/>
      </c>
      <c r="AB10" s="213" t="e">
        <f>IF(ISBLANK($C10),NA(),IF($Y$4="N",NA(),V10))</f>
        <v>#N/A</v>
      </c>
      <c r="AC10" s="213" t="e">
        <f>IF(ISBLANK($C10),NA(),IF($Y$4="N",NA(),W10))</f>
        <v>#N/A</v>
      </c>
      <c r="AD10" s="11"/>
      <c r="AE10" s="75"/>
      <c r="AF10" s="235" t="e">
        <f>IF(ISNUMBER(H10),($C10-H10)/$X10,NA())</f>
        <v>#N/A</v>
      </c>
      <c r="AG10" s="235" t="str">
        <f>IF(ISNUMBER(I10),($C10-I10)/$X10,"")</f>
        <v/>
      </c>
      <c r="AH10" s="235" t="str">
        <f t="shared" ref="AH10:AH29" si="5">IF(ISNUMBER(J10),($C10-J10)/$X10,"")</f>
        <v/>
      </c>
      <c r="AI10" s="235" t="str">
        <f t="shared" ref="AI10:AI29" si="6">IF(ISNUMBER(K10),($C10-K10)/$X10,"")</f>
        <v/>
      </c>
      <c r="AJ10" s="235" t="str">
        <f t="shared" ref="AJ10:AJ29" si="7">IF(ISNUMBER(L10),($C10-L10)/$X10,"")</f>
        <v/>
      </c>
      <c r="AK10" s="235" t="str">
        <f t="shared" ref="AK10:AK29" si="8">IF(ISNUMBER(M10),($C10-M10)/$X10,"")</f>
        <v/>
      </c>
      <c r="AL10" s="235" t="str">
        <f t="shared" ref="AL10:AL29" si="9">IF(ISNUMBER(N10),($C10-N10)/$X10,"")</f>
        <v/>
      </c>
      <c r="AM10" s="235" t="str">
        <f t="shared" ref="AM10:AM29" si="10">IF(ISNUMBER(O10),($C10-O10)/$X10,"")</f>
        <v/>
      </c>
      <c r="AN10" s="235" t="str">
        <f t="shared" ref="AN10:AN29" si="11">IF(ISNUMBER(P10),($C10-P10)/$X10,"")</f>
        <v/>
      </c>
      <c r="AO10" s="235" t="str">
        <f t="shared" ref="AO10:AO29" si="12">IF(ISNUMBER(Q10),($C10-Q10)/$X10,"")</f>
        <v/>
      </c>
      <c r="AP10" s="235"/>
      <c r="AQ10" s="232" t="str">
        <f>IF(COUNT(AF10:AO10)=0,"",COUNT(AF10:AO10))</f>
        <v/>
      </c>
      <c r="AR10" s="236" t="str">
        <f>IF(COUNT(AF10:AO10)=0,"",AVERAGE(AF10:AO10))</f>
        <v/>
      </c>
      <c r="AS10" s="236" t="str">
        <f>IF(COUNT(AF10:AO10)=0,"",AQ10*AR10)</f>
        <v/>
      </c>
      <c r="AT10" s="236" t="str">
        <f>IF(COUNT(AF10:AO10)=0,"",VAR(AF10:AO10))</f>
        <v/>
      </c>
      <c r="AU10" s="236" t="str">
        <f t="shared" ref="AU10:AU29" si="13">IF(COUNT(AF10:AO10)&lt;2,"",(AQ10-1)*AT10)</f>
        <v/>
      </c>
      <c r="AV10" s="236" t="str">
        <f t="shared" ref="AV10:AV29" si="14">IF(COUNT(AF10:AO10)=0,"",(AR10-$AG$8)^2)</f>
        <v/>
      </c>
      <c r="AW10" s="236" t="str">
        <f t="shared" ref="AW10:AW29" si="15">IF(COUNT(AF10:AO10)=0,"",AQ10*AV10)</f>
        <v/>
      </c>
      <c r="AX10" s="232"/>
      <c r="AY10" s="194"/>
      <c r="AZ10" s="142"/>
      <c r="BA10" s="142"/>
    </row>
    <row r="11" spans="1:53" x14ac:dyDescent="0.45">
      <c r="A11" s="8">
        <v>2</v>
      </c>
      <c r="B11" s="180"/>
      <c r="C11" s="84"/>
      <c r="D11" s="202" t="s">
        <v>137</v>
      </c>
      <c r="E11" s="183"/>
      <c r="F11" s="204" t="str">
        <f t="shared" ref="F11:F29" si="16">IF(ISBLANK(C11),"",IF(AND(D11="s(P)",ISNUMBER(G11)),E11/SQRT(G11),IF(AND(ISNUMBER(G11),D11="%CV"),E11*C11/(100*SQRT(G11)),IF(D11="SEM",E11,"Check"))))</f>
        <v/>
      </c>
      <c r="G11" s="185"/>
      <c r="H11" s="73"/>
      <c r="I11" s="9"/>
      <c r="J11" s="55"/>
      <c r="K11" s="55"/>
      <c r="L11" s="55"/>
      <c r="M11" s="55"/>
      <c r="N11" s="55"/>
      <c r="O11" s="55"/>
      <c r="P11" s="9"/>
      <c r="Q11" s="9"/>
      <c r="R11" s="65" t="str">
        <f>IF(COUNT(H11:Q11)=0,"",IF(AND(ISBLANK(F11),ISBLANK(#REF!)),0,IF(COUNT(H11:Q11)=1,0,IF(ISNUMBER(C11),COUNT(H11:Q11),0))))</f>
        <v/>
      </c>
      <c r="S11" s="110" t="str">
        <f t="shared" si="0"/>
        <v/>
      </c>
      <c r="T11" s="109" t="str">
        <f t="shared" si="1"/>
        <v/>
      </c>
      <c r="U11" s="35" t="str">
        <f t="shared" ref="U11:U29" si="17">IF(OR(COUNT(H11:Q11)&lt;2,ISBLANK($F$7),ISBLANK(C11)),"",(S11-C11)/X11)</f>
        <v/>
      </c>
      <c r="V11" s="7" t="str">
        <f t="shared" si="2"/>
        <v/>
      </c>
      <c r="W11" s="177" t="str">
        <f t="shared" si="3"/>
        <v/>
      </c>
      <c r="X11" s="209" t="e">
        <f t="shared" ref="X11:X29" si="18">IF(OR(ISBLANK($F$7),ISBLANK(C11),COUNT(H11:Q11)&lt;2),NA(),IF(D11="s(P)",E11, IF(D11="%CV",E11/100*C11,IF(D11="SEM",F11*SQRT(G11),""))))</f>
        <v>#N/A</v>
      </c>
      <c r="Y11" s="209" t="e">
        <f t="shared" ref="Y11:Y29" si="19">IF(ISBLANK(C11),NA(),IF($Y$6="N",NA(),IF($AC$6="N",100*F11/C11,100*T11/S11)))</f>
        <v>#N/A</v>
      </c>
      <c r="Z11" s="213" t="e">
        <f t="shared" ref="Z11:Z29" si="20">IF(OR(COUNT(H11:Q11)&lt;2,ISBLANK(C11)),NA(),IF(V11&lt;0,T11*(1),T11))</f>
        <v>#N/A</v>
      </c>
      <c r="AA11" s="213" t="str">
        <f t="shared" si="4"/>
        <v/>
      </c>
      <c r="AB11" s="213" t="e">
        <f t="shared" ref="AB11:AB28" si="21">IF(ISBLANK($C11),NA(),IF($Y$4="N",NA(),V11))</f>
        <v>#N/A</v>
      </c>
      <c r="AC11" s="213" t="e">
        <f t="shared" ref="AC11:AC29" si="22">IF(ISBLANK($C11),NA(),IF($Y$4="N",NA(),W11))</f>
        <v>#N/A</v>
      </c>
      <c r="AD11" s="11"/>
      <c r="AE11" s="75"/>
      <c r="AF11" s="235" t="str">
        <f t="shared" ref="AF11:AF29" si="23">IF(ISNUMBER(H11),($C11-H11)/$X11,"")</f>
        <v/>
      </c>
      <c r="AG11" s="235" t="str">
        <f t="shared" ref="AG11:AG29" si="24">IF(ISNUMBER(I11),($C11-I11)/$X11,"")</f>
        <v/>
      </c>
      <c r="AH11" s="235" t="str">
        <f t="shared" si="5"/>
        <v/>
      </c>
      <c r="AI11" s="235" t="str">
        <f t="shared" si="6"/>
        <v/>
      </c>
      <c r="AJ11" s="235" t="str">
        <f t="shared" si="7"/>
        <v/>
      </c>
      <c r="AK11" s="235" t="str">
        <f t="shared" si="8"/>
        <v/>
      </c>
      <c r="AL11" s="235" t="str">
        <f t="shared" si="9"/>
        <v/>
      </c>
      <c r="AM11" s="235" t="str">
        <f t="shared" si="10"/>
        <v/>
      </c>
      <c r="AN11" s="235" t="str">
        <f t="shared" si="11"/>
        <v/>
      </c>
      <c r="AO11" s="235" t="str">
        <f t="shared" si="12"/>
        <v/>
      </c>
      <c r="AP11" s="228"/>
      <c r="AQ11" s="232" t="str">
        <f t="shared" ref="AQ11:AQ29" si="25">IF(COUNT(AF11:AO11)=0,"",COUNT(AF11:AO11))</f>
        <v/>
      </c>
      <c r="AR11" s="236" t="str">
        <f t="shared" ref="AR11:AR29" si="26">IF(COUNT(AF11:AO11)=0,"",AVERAGE(AF11:AO11))</f>
        <v/>
      </c>
      <c r="AS11" s="236" t="str">
        <f t="shared" ref="AS11:AS29" si="27">IF(COUNT(AF11:AO11)=0,"",AQ11*AR11)</f>
        <v/>
      </c>
      <c r="AT11" s="236" t="str">
        <f t="shared" ref="AT11:AT20" si="28">IF(COUNT(AF11:AO11)=0,"",VAR(AF11:AO11))</f>
        <v/>
      </c>
      <c r="AU11" s="236" t="str">
        <f t="shared" si="13"/>
        <v/>
      </c>
      <c r="AV11" s="236" t="str">
        <f t="shared" si="14"/>
        <v/>
      </c>
      <c r="AW11" s="236" t="str">
        <f t="shared" si="15"/>
        <v/>
      </c>
      <c r="AX11" s="228"/>
      <c r="AY11" s="75"/>
      <c r="AZ11" s="6"/>
      <c r="BA11" s="6"/>
    </row>
    <row r="12" spans="1:53" x14ac:dyDescent="0.45">
      <c r="A12" s="8">
        <v>3</v>
      </c>
      <c r="B12" s="180"/>
      <c r="C12" s="83"/>
      <c r="D12" s="202" t="s">
        <v>137</v>
      </c>
      <c r="E12" s="203"/>
      <c r="F12" s="204" t="str">
        <f t="shared" si="16"/>
        <v/>
      </c>
      <c r="G12" s="185"/>
      <c r="H12" s="73"/>
      <c r="I12" s="9"/>
      <c r="J12" s="55"/>
      <c r="K12" s="55"/>
      <c r="L12" s="55"/>
      <c r="M12" s="55"/>
      <c r="N12" s="55"/>
      <c r="O12" s="55"/>
      <c r="P12" s="9"/>
      <c r="Q12" s="9"/>
      <c r="R12" s="65" t="str">
        <f>IF(COUNT(H12:Q12)=0,"",IF(AND(ISBLANK(F12),ISBLANK(#REF!)),0,IF(COUNT(H12:Q12)=1,0,IF(ISNUMBER(C12),COUNT(H12:Q12),0))))</f>
        <v/>
      </c>
      <c r="S12" s="110" t="str">
        <f t="shared" si="0"/>
        <v/>
      </c>
      <c r="T12" s="109" t="str">
        <f t="shared" si="1"/>
        <v/>
      </c>
      <c r="U12" s="35" t="str">
        <f t="shared" si="17"/>
        <v/>
      </c>
      <c r="V12" s="7" t="str">
        <f t="shared" si="2"/>
        <v/>
      </c>
      <c r="W12" s="177" t="str">
        <f t="shared" si="3"/>
        <v/>
      </c>
      <c r="X12" s="209" t="e">
        <f t="shared" si="18"/>
        <v>#N/A</v>
      </c>
      <c r="Y12" s="209" t="e">
        <f t="shared" si="19"/>
        <v>#N/A</v>
      </c>
      <c r="Z12" s="213" t="e">
        <f t="shared" si="20"/>
        <v>#N/A</v>
      </c>
      <c r="AA12" s="213" t="str">
        <f t="shared" si="4"/>
        <v/>
      </c>
      <c r="AB12" s="213" t="e">
        <f t="shared" si="21"/>
        <v>#N/A</v>
      </c>
      <c r="AC12" s="213" t="e">
        <f t="shared" si="22"/>
        <v>#N/A</v>
      </c>
      <c r="AD12" s="11"/>
      <c r="AE12" s="75"/>
      <c r="AF12" s="235" t="str">
        <f t="shared" si="23"/>
        <v/>
      </c>
      <c r="AG12" s="235" t="str">
        <f t="shared" si="24"/>
        <v/>
      </c>
      <c r="AH12" s="235" t="str">
        <f t="shared" si="5"/>
        <v/>
      </c>
      <c r="AI12" s="235" t="str">
        <f t="shared" si="6"/>
        <v/>
      </c>
      <c r="AJ12" s="235" t="str">
        <f t="shared" si="7"/>
        <v/>
      </c>
      <c r="AK12" s="235" t="str">
        <f t="shared" si="8"/>
        <v/>
      </c>
      <c r="AL12" s="235" t="str">
        <f t="shared" si="9"/>
        <v/>
      </c>
      <c r="AM12" s="235" t="str">
        <f t="shared" si="10"/>
        <v/>
      </c>
      <c r="AN12" s="235" t="str">
        <f t="shared" si="11"/>
        <v/>
      </c>
      <c r="AO12" s="235" t="str">
        <f t="shared" si="12"/>
        <v/>
      </c>
      <c r="AP12" s="228"/>
      <c r="AQ12" s="232" t="str">
        <f t="shared" si="25"/>
        <v/>
      </c>
      <c r="AR12" s="236" t="str">
        <f t="shared" si="26"/>
        <v/>
      </c>
      <c r="AS12" s="236" t="str">
        <f t="shared" si="27"/>
        <v/>
      </c>
      <c r="AT12" s="236" t="str">
        <f t="shared" si="28"/>
        <v/>
      </c>
      <c r="AU12" s="236" t="str">
        <f t="shared" si="13"/>
        <v/>
      </c>
      <c r="AV12" s="236" t="str">
        <f t="shared" si="14"/>
        <v/>
      </c>
      <c r="AW12" s="236" t="str">
        <f t="shared" si="15"/>
        <v/>
      </c>
      <c r="AX12" s="228"/>
      <c r="AY12" s="75"/>
      <c r="AZ12" s="6"/>
      <c r="BA12" s="6"/>
    </row>
    <row r="13" spans="1:53" x14ac:dyDescent="0.45">
      <c r="A13" s="8">
        <v>4</v>
      </c>
      <c r="B13" s="180"/>
      <c r="C13" s="120"/>
      <c r="D13" s="202" t="s">
        <v>137</v>
      </c>
      <c r="E13" s="183"/>
      <c r="F13" s="204" t="str">
        <f t="shared" si="16"/>
        <v/>
      </c>
      <c r="G13" s="185"/>
      <c r="H13" s="73"/>
      <c r="I13" s="9"/>
      <c r="J13" s="55"/>
      <c r="K13" s="55"/>
      <c r="L13" s="55"/>
      <c r="M13" s="55"/>
      <c r="N13" s="55"/>
      <c r="O13" s="55"/>
      <c r="P13" s="9"/>
      <c r="Q13" s="9"/>
      <c r="R13" s="65" t="str">
        <f>IF(COUNT(H13:Q13)=0,"",IF(AND(ISBLANK(F13),ISBLANK(#REF!)),0,IF(COUNT(H13:Q13)=1,0,IF(ISNUMBER(C13),COUNT(H13:Q13),0))))</f>
        <v/>
      </c>
      <c r="S13" s="110" t="str">
        <f t="shared" si="0"/>
        <v/>
      </c>
      <c r="T13" s="109" t="str">
        <f t="shared" si="1"/>
        <v/>
      </c>
      <c r="U13" s="35" t="str">
        <f t="shared" si="17"/>
        <v/>
      </c>
      <c r="V13" s="7" t="str">
        <f t="shared" si="2"/>
        <v/>
      </c>
      <c r="W13" s="177" t="str">
        <f t="shared" si="3"/>
        <v/>
      </c>
      <c r="X13" s="209" t="e">
        <f t="shared" si="18"/>
        <v>#N/A</v>
      </c>
      <c r="Y13" s="209" t="e">
        <f t="shared" si="19"/>
        <v>#N/A</v>
      </c>
      <c r="Z13" s="213" t="e">
        <f t="shared" si="20"/>
        <v>#N/A</v>
      </c>
      <c r="AA13" s="213" t="str">
        <f t="shared" si="4"/>
        <v/>
      </c>
      <c r="AB13" s="213" t="e">
        <f t="shared" si="21"/>
        <v>#N/A</v>
      </c>
      <c r="AC13" s="213" t="e">
        <f t="shared" si="22"/>
        <v>#N/A</v>
      </c>
      <c r="AD13" s="11"/>
      <c r="AE13" s="75"/>
      <c r="AF13" s="235" t="str">
        <f t="shared" si="23"/>
        <v/>
      </c>
      <c r="AG13" s="235" t="str">
        <f t="shared" si="24"/>
        <v/>
      </c>
      <c r="AH13" s="235" t="str">
        <f t="shared" si="5"/>
        <v/>
      </c>
      <c r="AI13" s="235" t="str">
        <f t="shared" si="6"/>
        <v/>
      </c>
      <c r="AJ13" s="235" t="str">
        <f t="shared" si="7"/>
        <v/>
      </c>
      <c r="AK13" s="235" t="str">
        <f t="shared" si="8"/>
        <v/>
      </c>
      <c r="AL13" s="235" t="str">
        <f t="shared" si="9"/>
        <v/>
      </c>
      <c r="AM13" s="235" t="str">
        <f t="shared" si="10"/>
        <v/>
      </c>
      <c r="AN13" s="235" t="str">
        <f t="shared" si="11"/>
        <v/>
      </c>
      <c r="AO13" s="235" t="str">
        <f t="shared" si="12"/>
        <v/>
      </c>
      <c r="AP13" s="228"/>
      <c r="AQ13" s="232" t="str">
        <f t="shared" si="25"/>
        <v/>
      </c>
      <c r="AR13" s="236" t="str">
        <f t="shared" si="26"/>
        <v/>
      </c>
      <c r="AS13" s="236" t="str">
        <f t="shared" si="27"/>
        <v/>
      </c>
      <c r="AT13" s="236" t="str">
        <f t="shared" si="28"/>
        <v/>
      </c>
      <c r="AU13" s="236" t="str">
        <f t="shared" si="13"/>
        <v/>
      </c>
      <c r="AV13" s="236" t="str">
        <f t="shared" si="14"/>
        <v/>
      </c>
      <c r="AW13" s="236" t="str">
        <f t="shared" si="15"/>
        <v/>
      </c>
      <c r="AX13" s="228"/>
      <c r="AY13" s="75"/>
      <c r="AZ13" s="6"/>
      <c r="BA13" s="6"/>
    </row>
    <row r="14" spans="1:53" x14ac:dyDescent="0.45">
      <c r="A14" s="8">
        <v>5</v>
      </c>
      <c r="B14" s="180"/>
      <c r="C14" s="83"/>
      <c r="D14" s="202" t="s">
        <v>137</v>
      </c>
      <c r="E14" s="183"/>
      <c r="F14" s="204" t="str">
        <f t="shared" si="16"/>
        <v/>
      </c>
      <c r="G14" s="185"/>
      <c r="H14" s="73"/>
      <c r="I14" s="9"/>
      <c r="J14" s="55"/>
      <c r="K14" s="55"/>
      <c r="L14" s="55"/>
      <c r="M14" s="55"/>
      <c r="N14" s="55"/>
      <c r="O14" s="55"/>
      <c r="P14" s="9"/>
      <c r="Q14" s="9"/>
      <c r="R14" s="65" t="str">
        <f>IF(COUNT(H14:Q14)=0,"",IF(AND(ISBLANK(F14),ISBLANK(#REF!)),0,IF(COUNT(H14:Q14)=1,0,IF(ISNUMBER(C14),COUNT(H14:Q14),0))))</f>
        <v/>
      </c>
      <c r="S14" s="110" t="str">
        <f t="shared" si="0"/>
        <v/>
      </c>
      <c r="T14" s="109" t="str">
        <f t="shared" si="1"/>
        <v/>
      </c>
      <c r="U14" s="35" t="str">
        <f t="shared" si="17"/>
        <v/>
      </c>
      <c r="V14" s="7" t="str">
        <f t="shared" si="2"/>
        <v/>
      </c>
      <c r="W14" s="177" t="str">
        <f t="shared" si="3"/>
        <v/>
      </c>
      <c r="X14" s="209" t="e">
        <f t="shared" si="18"/>
        <v>#N/A</v>
      </c>
      <c r="Y14" s="209" t="e">
        <f t="shared" si="19"/>
        <v>#N/A</v>
      </c>
      <c r="Z14" s="213" t="e">
        <f t="shared" si="20"/>
        <v>#N/A</v>
      </c>
      <c r="AA14" s="213" t="str">
        <f t="shared" si="4"/>
        <v/>
      </c>
      <c r="AB14" s="213" t="e">
        <f t="shared" si="21"/>
        <v>#N/A</v>
      </c>
      <c r="AC14" s="213" t="e">
        <f t="shared" si="22"/>
        <v>#N/A</v>
      </c>
      <c r="AD14" s="11"/>
      <c r="AE14" s="75"/>
      <c r="AF14" s="235" t="str">
        <f t="shared" si="23"/>
        <v/>
      </c>
      <c r="AG14" s="235" t="str">
        <f t="shared" si="24"/>
        <v/>
      </c>
      <c r="AH14" s="235" t="str">
        <f t="shared" si="5"/>
        <v/>
      </c>
      <c r="AI14" s="235" t="str">
        <f t="shared" si="6"/>
        <v/>
      </c>
      <c r="AJ14" s="235" t="str">
        <f t="shared" si="7"/>
        <v/>
      </c>
      <c r="AK14" s="235" t="str">
        <f t="shared" si="8"/>
        <v/>
      </c>
      <c r="AL14" s="235" t="str">
        <f t="shared" si="9"/>
        <v/>
      </c>
      <c r="AM14" s="235" t="str">
        <f t="shared" si="10"/>
        <v/>
      </c>
      <c r="AN14" s="235" t="str">
        <f t="shared" si="11"/>
        <v/>
      </c>
      <c r="AO14" s="235" t="str">
        <f t="shared" si="12"/>
        <v/>
      </c>
      <c r="AP14" s="228"/>
      <c r="AQ14" s="232" t="str">
        <f t="shared" si="25"/>
        <v/>
      </c>
      <c r="AR14" s="236" t="str">
        <f t="shared" si="26"/>
        <v/>
      </c>
      <c r="AS14" s="236" t="str">
        <f t="shared" si="27"/>
        <v/>
      </c>
      <c r="AT14" s="236" t="str">
        <f t="shared" si="28"/>
        <v/>
      </c>
      <c r="AU14" s="236" t="str">
        <f t="shared" si="13"/>
        <v/>
      </c>
      <c r="AV14" s="236" t="str">
        <f t="shared" si="14"/>
        <v/>
      </c>
      <c r="AW14" s="236" t="str">
        <f t="shared" si="15"/>
        <v/>
      </c>
      <c r="AX14" s="228"/>
      <c r="AY14" s="75"/>
      <c r="AZ14" s="6"/>
      <c r="BA14" s="6"/>
    </row>
    <row r="15" spans="1:53" ht="15" customHeight="1" x14ac:dyDescent="0.45">
      <c r="A15" s="8">
        <v>6</v>
      </c>
      <c r="B15" s="180"/>
      <c r="C15" s="83"/>
      <c r="D15" s="202" t="s">
        <v>137</v>
      </c>
      <c r="E15" s="183"/>
      <c r="F15" s="204" t="str">
        <f t="shared" si="16"/>
        <v/>
      </c>
      <c r="G15" s="185"/>
      <c r="H15" s="73"/>
      <c r="I15" s="9"/>
      <c r="J15" s="55"/>
      <c r="K15" s="55"/>
      <c r="L15" s="55"/>
      <c r="M15" s="55"/>
      <c r="N15" s="55"/>
      <c r="O15" s="55"/>
      <c r="P15" s="9"/>
      <c r="Q15" s="9"/>
      <c r="R15" s="65" t="str">
        <f>IF(COUNT(H15:Q15)=0,"",IF(AND(ISBLANK(F15),ISBLANK(#REF!)),0,IF(COUNT(H15:Q15)=1,0,IF(ISNUMBER(C15),COUNT(H15:Q15),0))))</f>
        <v/>
      </c>
      <c r="S15" s="110" t="str">
        <f t="shared" si="0"/>
        <v/>
      </c>
      <c r="T15" s="109" t="str">
        <f t="shared" si="1"/>
        <v/>
      </c>
      <c r="U15" s="35" t="str">
        <f t="shared" si="17"/>
        <v/>
      </c>
      <c r="V15" s="7" t="str">
        <f t="shared" si="2"/>
        <v/>
      </c>
      <c r="W15" s="177" t="str">
        <f t="shared" si="3"/>
        <v/>
      </c>
      <c r="X15" s="209" t="e">
        <f t="shared" si="18"/>
        <v>#N/A</v>
      </c>
      <c r="Y15" s="209" t="e">
        <f t="shared" si="19"/>
        <v>#N/A</v>
      </c>
      <c r="Z15" s="213" t="e">
        <f t="shared" si="20"/>
        <v>#N/A</v>
      </c>
      <c r="AA15" s="213" t="str">
        <f t="shared" si="4"/>
        <v/>
      </c>
      <c r="AB15" s="213" t="e">
        <f t="shared" si="21"/>
        <v>#N/A</v>
      </c>
      <c r="AC15" s="213" t="e">
        <f t="shared" si="22"/>
        <v>#N/A</v>
      </c>
      <c r="AD15" s="11"/>
      <c r="AE15" s="75"/>
      <c r="AF15" s="235" t="str">
        <f t="shared" si="23"/>
        <v/>
      </c>
      <c r="AG15" s="235" t="str">
        <f t="shared" si="24"/>
        <v/>
      </c>
      <c r="AH15" s="235" t="str">
        <f t="shared" si="5"/>
        <v/>
      </c>
      <c r="AI15" s="235" t="str">
        <f t="shared" si="6"/>
        <v/>
      </c>
      <c r="AJ15" s="235" t="str">
        <f t="shared" si="7"/>
        <v/>
      </c>
      <c r="AK15" s="235" t="str">
        <f t="shared" si="8"/>
        <v/>
      </c>
      <c r="AL15" s="235" t="str">
        <f t="shared" si="9"/>
        <v/>
      </c>
      <c r="AM15" s="235" t="str">
        <f t="shared" si="10"/>
        <v/>
      </c>
      <c r="AN15" s="235" t="str">
        <f t="shared" si="11"/>
        <v/>
      </c>
      <c r="AO15" s="235" t="str">
        <f t="shared" si="12"/>
        <v/>
      </c>
      <c r="AP15" s="228"/>
      <c r="AQ15" s="232" t="str">
        <f t="shared" si="25"/>
        <v/>
      </c>
      <c r="AR15" s="236" t="str">
        <f t="shared" si="26"/>
        <v/>
      </c>
      <c r="AS15" s="236" t="str">
        <f t="shared" si="27"/>
        <v/>
      </c>
      <c r="AT15" s="236" t="str">
        <f t="shared" si="28"/>
        <v/>
      </c>
      <c r="AU15" s="236" t="str">
        <f t="shared" si="13"/>
        <v/>
      </c>
      <c r="AV15" s="236" t="str">
        <f t="shared" si="14"/>
        <v/>
      </c>
      <c r="AW15" s="236" t="str">
        <f t="shared" si="15"/>
        <v/>
      </c>
      <c r="AX15" s="228"/>
      <c r="AY15" s="75"/>
      <c r="AZ15" s="6"/>
      <c r="BA15" s="6"/>
    </row>
    <row r="16" spans="1:53" x14ac:dyDescent="0.45">
      <c r="A16" s="8">
        <v>7</v>
      </c>
      <c r="B16" s="180"/>
      <c r="C16" s="83"/>
      <c r="D16" s="202" t="s">
        <v>137</v>
      </c>
      <c r="E16" s="183"/>
      <c r="F16" s="204" t="str">
        <f t="shared" si="16"/>
        <v/>
      </c>
      <c r="G16" s="186"/>
      <c r="H16" s="74"/>
      <c r="I16" s="10"/>
      <c r="J16" s="55"/>
      <c r="K16" s="55"/>
      <c r="L16" s="55"/>
      <c r="M16" s="55"/>
      <c r="N16" s="55"/>
      <c r="O16" s="55"/>
      <c r="P16" s="9"/>
      <c r="Q16" s="9"/>
      <c r="R16" s="65" t="str">
        <f>IF(COUNT(H16:Q16)=0,"",IF(AND(ISBLANK(F16),ISBLANK(#REF!)),0,IF(COUNT(H16:Q16)=1,0,IF(ISNUMBER(C16),COUNT(H16:Q16),0))))</f>
        <v/>
      </c>
      <c r="S16" s="110" t="str">
        <f t="shared" si="0"/>
        <v/>
      </c>
      <c r="T16" s="109" t="str">
        <f t="shared" si="1"/>
        <v/>
      </c>
      <c r="U16" s="35" t="str">
        <f t="shared" si="17"/>
        <v/>
      </c>
      <c r="V16" s="7" t="str">
        <f t="shared" si="2"/>
        <v/>
      </c>
      <c r="W16" s="177" t="str">
        <f t="shared" si="3"/>
        <v/>
      </c>
      <c r="X16" s="209" t="e">
        <f t="shared" si="18"/>
        <v>#N/A</v>
      </c>
      <c r="Y16" s="209" t="e">
        <f t="shared" si="19"/>
        <v>#N/A</v>
      </c>
      <c r="Z16" s="213" t="e">
        <f t="shared" si="20"/>
        <v>#N/A</v>
      </c>
      <c r="AA16" s="213" t="str">
        <f t="shared" si="4"/>
        <v/>
      </c>
      <c r="AB16" s="213" t="e">
        <f t="shared" si="21"/>
        <v>#N/A</v>
      </c>
      <c r="AC16" s="213" t="e">
        <f t="shared" si="22"/>
        <v>#N/A</v>
      </c>
      <c r="AD16" s="11"/>
      <c r="AE16" s="75"/>
      <c r="AF16" s="235" t="str">
        <f t="shared" si="23"/>
        <v/>
      </c>
      <c r="AG16" s="235" t="str">
        <f t="shared" si="24"/>
        <v/>
      </c>
      <c r="AH16" s="235" t="str">
        <f t="shared" si="5"/>
        <v/>
      </c>
      <c r="AI16" s="235" t="str">
        <f t="shared" si="6"/>
        <v/>
      </c>
      <c r="AJ16" s="235" t="str">
        <f t="shared" si="7"/>
        <v/>
      </c>
      <c r="AK16" s="235" t="str">
        <f t="shared" si="8"/>
        <v/>
      </c>
      <c r="AL16" s="235" t="str">
        <f t="shared" si="9"/>
        <v/>
      </c>
      <c r="AM16" s="235" t="str">
        <f t="shared" si="10"/>
        <v/>
      </c>
      <c r="AN16" s="235" t="str">
        <f t="shared" si="11"/>
        <v/>
      </c>
      <c r="AO16" s="235" t="str">
        <f t="shared" si="12"/>
        <v/>
      </c>
      <c r="AP16" s="228"/>
      <c r="AQ16" s="232" t="str">
        <f t="shared" si="25"/>
        <v/>
      </c>
      <c r="AR16" s="236" t="str">
        <f t="shared" si="26"/>
        <v/>
      </c>
      <c r="AS16" s="236" t="str">
        <f t="shared" si="27"/>
        <v/>
      </c>
      <c r="AT16" s="236" t="str">
        <f t="shared" si="28"/>
        <v/>
      </c>
      <c r="AU16" s="236" t="str">
        <f t="shared" si="13"/>
        <v/>
      </c>
      <c r="AV16" s="236" t="str">
        <f t="shared" si="14"/>
        <v/>
      </c>
      <c r="AW16" s="236" t="str">
        <f t="shared" si="15"/>
        <v/>
      </c>
      <c r="AX16" s="228"/>
      <c r="AY16" s="75"/>
      <c r="AZ16" s="6"/>
      <c r="BA16" s="6"/>
    </row>
    <row r="17" spans="1:53" x14ac:dyDescent="0.45">
      <c r="A17" s="8">
        <v>8</v>
      </c>
      <c r="B17" s="180"/>
      <c r="C17" s="83"/>
      <c r="D17" s="202" t="s">
        <v>137</v>
      </c>
      <c r="E17" s="183"/>
      <c r="F17" s="204" t="str">
        <f t="shared" si="16"/>
        <v/>
      </c>
      <c r="G17" s="185"/>
      <c r="H17" s="73"/>
      <c r="I17" s="9"/>
      <c r="J17" s="55"/>
      <c r="K17" s="55"/>
      <c r="L17" s="55"/>
      <c r="M17" s="55"/>
      <c r="N17" s="55"/>
      <c r="O17" s="55"/>
      <c r="P17" s="9"/>
      <c r="Q17" s="9"/>
      <c r="R17" s="65" t="str">
        <f>IF(COUNT(H17:Q17)=0,"",IF(AND(ISBLANK(F17),ISBLANK(#REF!)),0,IF(COUNT(H17:Q17)=1,0,IF(ISNUMBER(C17),COUNT(H17:Q17),0))))</f>
        <v/>
      </c>
      <c r="S17" s="110" t="str">
        <f t="shared" si="0"/>
        <v/>
      </c>
      <c r="T17" s="109" t="str">
        <f t="shared" si="1"/>
        <v/>
      </c>
      <c r="U17" s="35" t="str">
        <f t="shared" si="17"/>
        <v/>
      </c>
      <c r="V17" s="7" t="str">
        <f t="shared" si="2"/>
        <v/>
      </c>
      <c r="W17" s="177" t="str">
        <f t="shared" si="3"/>
        <v/>
      </c>
      <c r="X17" s="209" t="e">
        <f t="shared" si="18"/>
        <v>#N/A</v>
      </c>
      <c r="Y17" s="209" t="e">
        <f t="shared" si="19"/>
        <v>#N/A</v>
      </c>
      <c r="Z17" s="213" t="e">
        <f t="shared" si="20"/>
        <v>#N/A</v>
      </c>
      <c r="AA17" s="213" t="str">
        <f t="shared" si="4"/>
        <v/>
      </c>
      <c r="AB17" s="213" t="e">
        <f t="shared" si="21"/>
        <v>#N/A</v>
      </c>
      <c r="AC17" s="213" t="e">
        <f t="shared" si="22"/>
        <v>#N/A</v>
      </c>
      <c r="AD17" s="11"/>
      <c r="AE17" s="75"/>
      <c r="AF17" s="235" t="str">
        <f t="shared" si="23"/>
        <v/>
      </c>
      <c r="AG17" s="235" t="str">
        <f t="shared" si="24"/>
        <v/>
      </c>
      <c r="AH17" s="235" t="str">
        <f t="shared" si="5"/>
        <v/>
      </c>
      <c r="AI17" s="235" t="str">
        <f t="shared" si="6"/>
        <v/>
      </c>
      <c r="AJ17" s="235" t="str">
        <f t="shared" si="7"/>
        <v/>
      </c>
      <c r="AK17" s="235" t="str">
        <f t="shared" si="8"/>
        <v/>
      </c>
      <c r="AL17" s="235" t="str">
        <f t="shared" si="9"/>
        <v/>
      </c>
      <c r="AM17" s="235" t="str">
        <f t="shared" si="10"/>
        <v/>
      </c>
      <c r="AN17" s="235" t="str">
        <f t="shared" si="11"/>
        <v/>
      </c>
      <c r="AO17" s="235" t="str">
        <f t="shared" si="12"/>
        <v/>
      </c>
      <c r="AP17" s="228"/>
      <c r="AQ17" s="232" t="str">
        <f t="shared" si="25"/>
        <v/>
      </c>
      <c r="AR17" s="236" t="str">
        <f t="shared" si="26"/>
        <v/>
      </c>
      <c r="AS17" s="236" t="str">
        <f t="shared" si="27"/>
        <v/>
      </c>
      <c r="AT17" s="236" t="str">
        <f t="shared" si="28"/>
        <v/>
      </c>
      <c r="AU17" s="236" t="str">
        <f t="shared" si="13"/>
        <v/>
      </c>
      <c r="AV17" s="236" t="str">
        <f t="shared" si="14"/>
        <v/>
      </c>
      <c r="AW17" s="236" t="str">
        <f t="shared" si="15"/>
        <v/>
      </c>
      <c r="AX17" s="228"/>
      <c r="AY17" s="75"/>
      <c r="AZ17" s="6"/>
      <c r="BA17" s="6"/>
    </row>
    <row r="18" spans="1:53" x14ac:dyDescent="0.45">
      <c r="A18" s="8">
        <v>9</v>
      </c>
      <c r="B18" s="180"/>
      <c r="C18" s="84"/>
      <c r="D18" s="202" t="s">
        <v>137</v>
      </c>
      <c r="E18" s="183"/>
      <c r="F18" s="204" t="str">
        <f t="shared" si="16"/>
        <v/>
      </c>
      <c r="G18" s="185"/>
      <c r="H18" s="73"/>
      <c r="I18" s="9"/>
      <c r="J18" s="55"/>
      <c r="K18" s="55"/>
      <c r="L18" s="55"/>
      <c r="M18" s="55"/>
      <c r="N18" s="55"/>
      <c r="O18" s="55"/>
      <c r="P18" s="9"/>
      <c r="Q18" s="9"/>
      <c r="R18" s="65" t="str">
        <f>IF(COUNT(H18:Q18)=0,"",IF(AND(ISBLANK(F18),ISBLANK(#REF!)),0,IF(COUNT(H18:Q18)=1,0,IF(ISNUMBER(C18),COUNT(H18:Q18),0))))</f>
        <v/>
      </c>
      <c r="S18" s="110" t="str">
        <f t="shared" si="0"/>
        <v/>
      </c>
      <c r="T18" s="109" t="str">
        <f t="shared" si="1"/>
        <v/>
      </c>
      <c r="U18" s="35" t="str">
        <f t="shared" si="17"/>
        <v/>
      </c>
      <c r="V18" s="7" t="str">
        <f t="shared" si="2"/>
        <v/>
      </c>
      <c r="W18" s="177" t="str">
        <f t="shared" si="3"/>
        <v/>
      </c>
      <c r="X18" s="209" t="e">
        <f t="shared" si="18"/>
        <v>#N/A</v>
      </c>
      <c r="Y18" s="209" t="e">
        <f t="shared" si="19"/>
        <v>#N/A</v>
      </c>
      <c r="Z18" s="213" t="e">
        <f t="shared" si="20"/>
        <v>#N/A</v>
      </c>
      <c r="AA18" s="213" t="str">
        <f t="shared" si="4"/>
        <v/>
      </c>
      <c r="AB18" s="213" t="e">
        <f t="shared" si="21"/>
        <v>#N/A</v>
      </c>
      <c r="AC18" s="213" t="e">
        <f t="shared" si="22"/>
        <v>#N/A</v>
      </c>
      <c r="AD18" s="11"/>
      <c r="AE18" s="75"/>
      <c r="AF18" s="235" t="str">
        <f t="shared" si="23"/>
        <v/>
      </c>
      <c r="AG18" s="235" t="str">
        <f t="shared" si="24"/>
        <v/>
      </c>
      <c r="AH18" s="235" t="str">
        <f t="shared" si="5"/>
        <v/>
      </c>
      <c r="AI18" s="235" t="str">
        <f t="shared" si="6"/>
        <v/>
      </c>
      <c r="AJ18" s="235" t="str">
        <f t="shared" si="7"/>
        <v/>
      </c>
      <c r="AK18" s="235" t="str">
        <f t="shared" si="8"/>
        <v/>
      </c>
      <c r="AL18" s="235" t="str">
        <f t="shared" si="9"/>
        <v/>
      </c>
      <c r="AM18" s="235" t="str">
        <f t="shared" si="10"/>
        <v/>
      </c>
      <c r="AN18" s="235" t="str">
        <f t="shared" si="11"/>
        <v/>
      </c>
      <c r="AO18" s="235" t="str">
        <f t="shared" si="12"/>
        <v/>
      </c>
      <c r="AP18" s="228"/>
      <c r="AQ18" s="232" t="str">
        <f t="shared" si="25"/>
        <v/>
      </c>
      <c r="AR18" s="236" t="str">
        <f t="shared" si="26"/>
        <v/>
      </c>
      <c r="AS18" s="236" t="str">
        <f t="shared" si="27"/>
        <v/>
      </c>
      <c r="AT18" s="236" t="str">
        <f t="shared" si="28"/>
        <v/>
      </c>
      <c r="AU18" s="236" t="str">
        <f t="shared" si="13"/>
        <v/>
      </c>
      <c r="AV18" s="236" t="str">
        <f t="shared" si="14"/>
        <v/>
      </c>
      <c r="AW18" s="236" t="str">
        <f t="shared" si="15"/>
        <v/>
      </c>
      <c r="AX18" s="228"/>
      <c r="AY18" s="75"/>
      <c r="AZ18" s="6"/>
      <c r="BA18" s="6"/>
    </row>
    <row r="19" spans="1:53" x14ac:dyDescent="0.45">
      <c r="A19" s="8">
        <v>10</v>
      </c>
      <c r="B19" s="180"/>
      <c r="C19" s="83"/>
      <c r="D19" s="202" t="s">
        <v>137</v>
      </c>
      <c r="E19" s="203"/>
      <c r="F19" s="204" t="str">
        <f t="shared" si="16"/>
        <v/>
      </c>
      <c r="G19" s="185"/>
      <c r="H19" s="73"/>
      <c r="I19" s="9"/>
      <c r="J19" s="55"/>
      <c r="K19" s="55"/>
      <c r="L19" s="55"/>
      <c r="M19" s="55"/>
      <c r="N19" s="55"/>
      <c r="O19" s="55"/>
      <c r="P19" s="9"/>
      <c r="Q19" s="9"/>
      <c r="R19" s="65" t="str">
        <f>IF(COUNT(H19:Q19)=0,"",IF(AND(ISBLANK(F19),ISBLANK(#REF!)),0,IF(COUNT(H19:Q19)=1,0,IF(ISNUMBER(C19),COUNT(H19:Q19),0))))</f>
        <v/>
      </c>
      <c r="S19" s="110" t="str">
        <f t="shared" si="0"/>
        <v/>
      </c>
      <c r="T19" s="109" t="str">
        <f t="shared" si="1"/>
        <v/>
      </c>
      <c r="U19" s="35" t="str">
        <f t="shared" si="17"/>
        <v/>
      </c>
      <c r="V19" s="7" t="str">
        <f t="shared" si="2"/>
        <v/>
      </c>
      <c r="W19" s="177" t="str">
        <f t="shared" si="3"/>
        <v/>
      </c>
      <c r="X19" s="209" t="e">
        <f t="shared" si="18"/>
        <v>#N/A</v>
      </c>
      <c r="Y19" s="209" t="e">
        <f t="shared" si="19"/>
        <v>#N/A</v>
      </c>
      <c r="Z19" s="213" t="e">
        <f t="shared" si="20"/>
        <v>#N/A</v>
      </c>
      <c r="AA19" s="213" t="str">
        <f t="shared" si="4"/>
        <v/>
      </c>
      <c r="AB19" s="213" t="e">
        <f t="shared" si="21"/>
        <v>#N/A</v>
      </c>
      <c r="AC19" s="213" t="e">
        <f t="shared" si="22"/>
        <v>#N/A</v>
      </c>
      <c r="AD19" s="11"/>
      <c r="AE19" s="75"/>
      <c r="AF19" s="235" t="str">
        <f t="shared" si="23"/>
        <v/>
      </c>
      <c r="AG19" s="235" t="str">
        <f t="shared" si="24"/>
        <v/>
      </c>
      <c r="AH19" s="235" t="str">
        <f t="shared" si="5"/>
        <v/>
      </c>
      <c r="AI19" s="235" t="str">
        <f t="shared" si="6"/>
        <v/>
      </c>
      <c r="AJ19" s="235" t="str">
        <f t="shared" si="7"/>
        <v/>
      </c>
      <c r="AK19" s="235" t="str">
        <f t="shared" si="8"/>
        <v/>
      </c>
      <c r="AL19" s="235" t="str">
        <f t="shared" si="9"/>
        <v/>
      </c>
      <c r="AM19" s="235" t="str">
        <f t="shared" si="10"/>
        <v/>
      </c>
      <c r="AN19" s="235" t="str">
        <f t="shared" si="11"/>
        <v/>
      </c>
      <c r="AO19" s="235" t="str">
        <f t="shared" si="12"/>
        <v/>
      </c>
      <c r="AP19" s="228"/>
      <c r="AQ19" s="232" t="str">
        <f t="shared" si="25"/>
        <v/>
      </c>
      <c r="AR19" s="236" t="str">
        <f t="shared" si="26"/>
        <v/>
      </c>
      <c r="AS19" s="236" t="str">
        <f t="shared" si="27"/>
        <v/>
      </c>
      <c r="AT19" s="236" t="str">
        <f t="shared" si="28"/>
        <v/>
      </c>
      <c r="AU19" s="236" t="str">
        <f t="shared" si="13"/>
        <v/>
      </c>
      <c r="AV19" s="236" t="str">
        <f t="shared" si="14"/>
        <v/>
      </c>
      <c r="AW19" s="236" t="str">
        <f t="shared" si="15"/>
        <v/>
      </c>
      <c r="AX19" s="228"/>
      <c r="AY19" s="75"/>
      <c r="AZ19" s="6"/>
      <c r="BA19" s="6"/>
    </row>
    <row r="20" spans="1:53" x14ac:dyDescent="0.45">
      <c r="A20" s="8">
        <v>11</v>
      </c>
      <c r="B20" s="180"/>
      <c r="C20" s="83"/>
      <c r="D20" s="202"/>
      <c r="E20" s="203"/>
      <c r="F20" s="204" t="str">
        <f t="shared" si="16"/>
        <v/>
      </c>
      <c r="G20" s="185"/>
      <c r="H20" s="73"/>
      <c r="I20" s="9"/>
      <c r="J20" s="55"/>
      <c r="K20" s="55"/>
      <c r="L20" s="55"/>
      <c r="M20" s="55"/>
      <c r="N20" s="55"/>
      <c r="O20" s="55"/>
      <c r="P20" s="10"/>
      <c r="Q20" s="10"/>
      <c r="R20" s="65" t="str">
        <f>IF(COUNT(H20:Q20)=0,"",IF(AND(ISBLANK(F20),ISBLANK(#REF!)),0,IF(COUNT(H20:Q20)=1,0,IF(ISNUMBER(C20),COUNT(H20:Q20),0))))</f>
        <v/>
      </c>
      <c r="S20" s="110" t="str">
        <f t="shared" si="0"/>
        <v/>
      </c>
      <c r="T20" s="109" t="str">
        <f t="shared" si="1"/>
        <v/>
      </c>
      <c r="U20" s="35" t="str">
        <f t="shared" si="17"/>
        <v/>
      </c>
      <c r="V20" s="7" t="str">
        <f t="shared" si="2"/>
        <v/>
      </c>
      <c r="W20" s="178" t="str">
        <f t="shared" si="3"/>
        <v/>
      </c>
      <c r="X20" s="209" t="e">
        <f t="shared" si="18"/>
        <v>#N/A</v>
      </c>
      <c r="Y20" s="209" t="e">
        <f t="shared" si="19"/>
        <v>#N/A</v>
      </c>
      <c r="Z20" s="213" t="e">
        <f t="shared" si="20"/>
        <v>#N/A</v>
      </c>
      <c r="AA20" s="213" t="str">
        <f t="shared" si="4"/>
        <v/>
      </c>
      <c r="AB20" s="213" t="e">
        <f t="shared" si="21"/>
        <v>#N/A</v>
      </c>
      <c r="AC20" s="213" t="e">
        <f t="shared" si="22"/>
        <v>#N/A</v>
      </c>
      <c r="AD20" s="11"/>
      <c r="AE20" s="75"/>
      <c r="AF20" s="235" t="str">
        <f t="shared" si="23"/>
        <v/>
      </c>
      <c r="AG20" s="235" t="str">
        <f t="shared" si="24"/>
        <v/>
      </c>
      <c r="AH20" s="235" t="str">
        <f t="shared" si="5"/>
        <v/>
      </c>
      <c r="AI20" s="235" t="str">
        <f t="shared" si="6"/>
        <v/>
      </c>
      <c r="AJ20" s="235" t="str">
        <f t="shared" si="7"/>
        <v/>
      </c>
      <c r="AK20" s="235" t="str">
        <f t="shared" si="8"/>
        <v/>
      </c>
      <c r="AL20" s="235" t="str">
        <f t="shared" si="9"/>
        <v/>
      </c>
      <c r="AM20" s="235" t="str">
        <f t="shared" si="10"/>
        <v/>
      </c>
      <c r="AN20" s="235" t="str">
        <f t="shared" si="11"/>
        <v/>
      </c>
      <c r="AO20" s="235" t="str">
        <f t="shared" si="12"/>
        <v/>
      </c>
      <c r="AP20" s="228"/>
      <c r="AQ20" s="232" t="str">
        <f t="shared" si="25"/>
        <v/>
      </c>
      <c r="AR20" s="236" t="str">
        <f t="shared" si="26"/>
        <v/>
      </c>
      <c r="AS20" s="236" t="str">
        <f t="shared" si="27"/>
        <v/>
      </c>
      <c r="AT20" s="236" t="str">
        <f t="shared" si="28"/>
        <v/>
      </c>
      <c r="AU20" s="236" t="str">
        <f t="shared" si="13"/>
        <v/>
      </c>
      <c r="AV20" s="236" t="str">
        <f t="shared" si="14"/>
        <v/>
      </c>
      <c r="AW20" s="236" t="str">
        <f t="shared" si="15"/>
        <v/>
      </c>
      <c r="AX20" s="228"/>
      <c r="AY20" s="75"/>
      <c r="AZ20" s="6"/>
      <c r="BA20" s="6"/>
    </row>
    <row r="21" spans="1:53" x14ac:dyDescent="0.45">
      <c r="A21" s="8">
        <v>12</v>
      </c>
      <c r="B21" s="180"/>
      <c r="C21" s="83"/>
      <c r="D21" s="202"/>
      <c r="E21" s="203"/>
      <c r="F21" s="204" t="str">
        <f t="shared" si="16"/>
        <v/>
      </c>
      <c r="G21" s="185"/>
      <c r="H21" s="73"/>
      <c r="I21" s="9"/>
      <c r="J21" s="55"/>
      <c r="K21" s="55"/>
      <c r="L21" s="55"/>
      <c r="M21" s="55"/>
      <c r="N21" s="55"/>
      <c r="O21" s="55"/>
      <c r="P21" s="10"/>
      <c r="Q21" s="10"/>
      <c r="R21" s="65" t="str">
        <f>IF(COUNT(H21:Q21)=0,"",IF(AND(ISBLANK(F21),ISBLANK(#REF!)),0,IF(COUNT(H21:Q21)=1,0,IF(ISNUMBER(C21),COUNT(H21:Q21),0))))</f>
        <v/>
      </c>
      <c r="S21" s="110" t="str">
        <f t="shared" si="0"/>
        <v/>
      </c>
      <c r="T21" s="111" t="str">
        <f t="shared" si="1"/>
        <v/>
      </c>
      <c r="U21" s="35" t="str">
        <f t="shared" si="17"/>
        <v/>
      </c>
      <c r="V21" s="7" t="str">
        <f t="shared" si="2"/>
        <v/>
      </c>
      <c r="W21" s="178" t="str">
        <f t="shared" si="3"/>
        <v/>
      </c>
      <c r="X21" s="209" t="e">
        <f t="shared" si="18"/>
        <v>#N/A</v>
      </c>
      <c r="Y21" s="209" t="e">
        <f t="shared" si="19"/>
        <v>#N/A</v>
      </c>
      <c r="Z21" s="213" t="e">
        <f t="shared" si="20"/>
        <v>#N/A</v>
      </c>
      <c r="AA21" s="213" t="str">
        <f t="shared" si="4"/>
        <v/>
      </c>
      <c r="AB21" s="213" t="e">
        <f t="shared" si="21"/>
        <v>#N/A</v>
      </c>
      <c r="AC21" s="213" t="e">
        <f t="shared" si="22"/>
        <v>#N/A</v>
      </c>
      <c r="AD21" s="11"/>
      <c r="AE21" s="75"/>
      <c r="AF21" s="235" t="str">
        <f t="shared" si="23"/>
        <v/>
      </c>
      <c r="AG21" s="235" t="str">
        <f t="shared" si="24"/>
        <v/>
      </c>
      <c r="AH21" s="235" t="str">
        <f t="shared" si="5"/>
        <v/>
      </c>
      <c r="AI21" s="235" t="str">
        <f t="shared" si="6"/>
        <v/>
      </c>
      <c r="AJ21" s="235" t="str">
        <f t="shared" si="7"/>
        <v/>
      </c>
      <c r="AK21" s="235" t="str">
        <f t="shared" si="8"/>
        <v/>
      </c>
      <c r="AL21" s="235" t="str">
        <f t="shared" si="9"/>
        <v/>
      </c>
      <c r="AM21" s="235" t="str">
        <f t="shared" si="10"/>
        <v/>
      </c>
      <c r="AN21" s="235" t="str">
        <f t="shared" si="11"/>
        <v/>
      </c>
      <c r="AO21" s="235" t="str">
        <f t="shared" si="12"/>
        <v/>
      </c>
      <c r="AP21" s="228"/>
      <c r="AQ21" s="232" t="str">
        <f t="shared" si="25"/>
        <v/>
      </c>
      <c r="AR21" s="236" t="str">
        <f t="shared" si="26"/>
        <v/>
      </c>
      <c r="AS21" s="236" t="str">
        <f t="shared" si="27"/>
        <v/>
      </c>
      <c r="AT21" s="236" t="str">
        <f t="shared" ref="AT21:AT29" si="29">IF(COUNT(AF21:AO21)=0,"",STDEV(AF21:AO21))</f>
        <v/>
      </c>
      <c r="AU21" s="236" t="str">
        <f t="shared" si="13"/>
        <v/>
      </c>
      <c r="AV21" s="236" t="str">
        <f t="shared" si="14"/>
        <v/>
      </c>
      <c r="AW21" s="236" t="str">
        <f t="shared" si="15"/>
        <v/>
      </c>
      <c r="AX21" s="228"/>
      <c r="AY21" s="75"/>
      <c r="AZ21" s="6"/>
      <c r="BA21" s="6"/>
    </row>
    <row r="22" spans="1:53" x14ac:dyDescent="0.45">
      <c r="A22" s="8">
        <v>13</v>
      </c>
      <c r="B22" s="180"/>
      <c r="C22" s="83"/>
      <c r="D22" s="202"/>
      <c r="E22" s="203"/>
      <c r="F22" s="204" t="str">
        <f t="shared" si="16"/>
        <v/>
      </c>
      <c r="G22" s="185"/>
      <c r="H22" s="73"/>
      <c r="I22" s="9"/>
      <c r="J22" s="55"/>
      <c r="K22" s="55"/>
      <c r="L22" s="55"/>
      <c r="M22" s="55"/>
      <c r="N22" s="55"/>
      <c r="O22" s="55"/>
      <c r="P22" s="10"/>
      <c r="Q22" s="10"/>
      <c r="R22" s="65" t="str">
        <f>IF(COUNT(H22:Q22)=0,"",IF(AND(ISBLANK(F22),ISBLANK(#REF!)),0,IF(COUNT(H22:Q22)=1,0,IF(ISNUMBER(C22),COUNT(H22:Q22),0))))</f>
        <v/>
      </c>
      <c r="S22" s="110" t="str">
        <f t="shared" si="0"/>
        <v/>
      </c>
      <c r="T22" s="111" t="str">
        <f t="shared" si="1"/>
        <v/>
      </c>
      <c r="U22" s="35" t="str">
        <f t="shared" si="17"/>
        <v/>
      </c>
      <c r="V22" s="7" t="str">
        <f t="shared" si="2"/>
        <v/>
      </c>
      <c r="W22" s="178" t="str">
        <f t="shared" si="3"/>
        <v/>
      </c>
      <c r="X22" s="209" t="e">
        <f t="shared" si="18"/>
        <v>#N/A</v>
      </c>
      <c r="Y22" s="209" t="e">
        <f t="shared" si="19"/>
        <v>#N/A</v>
      </c>
      <c r="Z22" s="213" t="e">
        <f t="shared" si="20"/>
        <v>#N/A</v>
      </c>
      <c r="AA22" s="213" t="str">
        <f t="shared" si="4"/>
        <v/>
      </c>
      <c r="AB22" s="213" t="e">
        <f t="shared" si="21"/>
        <v>#N/A</v>
      </c>
      <c r="AC22" s="213" t="e">
        <f t="shared" si="22"/>
        <v>#N/A</v>
      </c>
      <c r="AD22" s="11"/>
      <c r="AE22" s="75"/>
      <c r="AF22" s="235" t="str">
        <f t="shared" si="23"/>
        <v/>
      </c>
      <c r="AG22" s="235" t="str">
        <f t="shared" si="24"/>
        <v/>
      </c>
      <c r="AH22" s="235" t="str">
        <f t="shared" si="5"/>
        <v/>
      </c>
      <c r="AI22" s="235" t="str">
        <f t="shared" si="6"/>
        <v/>
      </c>
      <c r="AJ22" s="235" t="str">
        <f t="shared" si="7"/>
        <v/>
      </c>
      <c r="AK22" s="235" t="str">
        <f t="shared" si="8"/>
        <v/>
      </c>
      <c r="AL22" s="235" t="str">
        <f t="shared" si="9"/>
        <v/>
      </c>
      <c r="AM22" s="235" t="str">
        <f t="shared" si="10"/>
        <v/>
      </c>
      <c r="AN22" s="235" t="str">
        <f t="shared" si="11"/>
        <v/>
      </c>
      <c r="AO22" s="235" t="str">
        <f t="shared" si="12"/>
        <v/>
      </c>
      <c r="AP22" s="228"/>
      <c r="AQ22" s="232" t="str">
        <f t="shared" si="25"/>
        <v/>
      </c>
      <c r="AR22" s="236" t="str">
        <f t="shared" si="26"/>
        <v/>
      </c>
      <c r="AS22" s="236" t="str">
        <f t="shared" si="27"/>
        <v/>
      </c>
      <c r="AT22" s="236" t="str">
        <f t="shared" si="29"/>
        <v/>
      </c>
      <c r="AU22" s="236" t="str">
        <f t="shared" si="13"/>
        <v/>
      </c>
      <c r="AV22" s="236" t="str">
        <f t="shared" si="14"/>
        <v/>
      </c>
      <c r="AW22" s="236" t="str">
        <f t="shared" si="15"/>
        <v/>
      </c>
      <c r="AX22" s="228"/>
      <c r="AY22" s="75"/>
      <c r="AZ22" s="11"/>
      <c r="BA22" s="6"/>
    </row>
    <row r="23" spans="1:53" x14ac:dyDescent="0.45">
      <c r="A23" s="8">
        <v>14</v>
      </c>
      <c r="B23" s="180"/>
      <c r="C23" s="83"/>
      <c r="D23" s="202"/>
      <c r="E23" s="203"/>
      <c r="F23" s="204" t="str">
        <f t="shared" si="16"/>
        <v/>
      </c>
      <c r="G23" s="185"/>
      <c r="H23" s="73"/>
      <c r="I23" s="9"/>
      <c r="J23" s="55"/>
      <c r="K23" s="55"/>
      <c r="L23" s="55"/>
      <c r="M23" s="55"/>
      <c r="N23" s="55"/>
      <c r="O23" s="55"/>
      <c r="P23" s="10"/>
      <c r="Q23" s="10"/>
      <c r="R23" s="65" t="str">
        <f>IF(COUNT(H23:Q23)=0,"",IF(AND(ISBLANK(F23),ISBLANK(#REF!)),0,IF(COUNT(H23:Q23)=1,0,IF(ISNUMBER(C23),COUNT(H23:Q23),0))))</f>
        <v/>
      </c>
      <c r="S23" s="110" t="str">
        <f t="shared" si="0"/>
        <v/>
      </c>
      <c r="T23" s="111" t="str">
        <f t="shared" si="1"/>
        <v/>
      </c>
      <c r="U23" s="35" t="str">
        <f t="shared" si="17"/>
        <v/>
      </c>
      <c r="V23" s="7" t="str">
        <f t="shared" si="2"/>
        <v/>
      </c>
      <c r="W23" s="178" t="str">
        <f t="shared" si="3"/>
        <v/>
      </c>
      <c r="X23" s="209" t="e">
        <f t="shared" si="18"/>
        <v>#N/A</v>
      </c>
      <c r="Y23" s="209" t="e">
        <f t="shared" si="19"/>
        <v>#N/A</v>
      </c>
      <c r="Z23" s="213" t="e">
        <f t="shared" si="20"/>
        <v>#N/A</v>
      </c>
      <c r="AA23" s="213" t="str">
        <f t="shared" si="4"/>
        <v/>
      </c>
      <c r="AB23" s="213" t="e">
        <f t="shared" si="21"/>
        <v>#N/A</v>
      </c>
      <c r="AC23" s="213" t="e">
        <f t="shared" si="22"/>
        <v>#N/A</v>
      </c>
      <c r="AD23" s="11"/>
      <c r="AE23" s="75"/>
      <c r="AF23" s="235" t="str">
        <f t="shared" si="23"/>
        <v/>
      </c>
      <c r="AG23" s="235" t="str">
        <f t="shared" si="24"/>
        <v/>
      </c>
      <c r="AH23" s="235" t="str">
        <f t="shared" si="5"/>
        <v/>
      </c>
      <c r="AI23" s="235" t="str">
        <f t="shared" si="6"/>
        <v/>
      </c>
      <c r="AJ23" s="235" t="str">
        <f t="shared" si="7"/>
        <v/>
      </c>
      <c r="AK23" s="235" t="str">
        <f t="shared" si="8"/>
        <v/>
      </c>
      <c r="AL23" s="235" t="str">
        <f t="shared" si="9"/>
        <v/>
      </c>
      <c r="AM23" s="235" t="str">
        <f t="shared" si="10"/>
        <v/>
      </c>
      <c r="AN23" s="235" t="str">
        <f t="shared" si="11"/>
        <v/>
      </c>
      <c r="AO23" s="235" t="str">
        <f t="shared" si="12"/>
        <v/>
      </c>
      <c r="AP23" s="228"/>
      <c r="AQ23" s="232" t="str">
        <f t="shared" si="25"/>
        <v/>
      </c>
      <c r="AR23" s="236" t="str">
        <f t="shared" si="26"/>
        <v/>
      </c>
      <c r="AS23" s="236" t="str">
        <f t="shared" si="27"/>
        <v/>
      </c>
      <c r="AT23" s="236" t="str">
        <f t="shared" si="29"/>
        <v/>
      </c>
      <c r="AU23" s="236" t="str">
        <f t="shared" si="13"/>
        <v/>
      </c>
      <c r="AV23" s="236" t="str">
        <f t="shared" si="14"/>
        <v/>
      </c>
      <c r="AW23" s="236" t="str">
        <f t="shared" si="15"/>
        <v/>
      </c>
      <c r="AX23" s="228"/>
      <c r="AY23" s="75"/>
      <c r="AZ23" s="11"/>
      <c r="BA23" s="6"/>
    </row>
    <row r="24" spans="1:53" x14ac:dyDescent="0.45">
      <c r="A24" s="8">
        <v>15</v>
      </c>
      <c r="B24" s="180"/>
      <c r="C24" s="83"/>
      <c r="D24" s="202"/>
      <c r="E24" s="203"/>
      <c r="F24" s="204" t="str">
        <f t="shared" si="16"/>
        <v/>
      </c>
      <c r="G24" s="185"/>
      <c r="H24" s="73"/>
      <c r="I24" s="9"/>
      <c r="J24" s="55"/>
      <c r="K24" s="55"/>
      <c r="L24" s="55"/>
      <c r="M24" s="55"/>
      <c r="N24" s="55"/>
      <c r="O24" s="55"/>
      <c r="P24" s="10"/>
      <c r="Q24" s="10"/>
      <c r="R24" s="65" t="str">
        <f>IF(COUNT(H24:Q24)=0,"",IF(AND(ISBLANK(F24),ISBLANK(#REF!)),0,IF(COUNT(H24:Q24)=1,0,IF(ISNUMBER(C24),COUNT(H24:Q24),0))))</f>
        <v/>
      </c>
      <c r="S24" s="110" t="str">
        <f t="shared" si="0"/>
        <v/>
      </c>
      <c r="T24" s="111" t="str">
        <f t="shared" si="1"/>
        <v/>
      </c>
      <c r="U24" s="35" t="str">
        <f t="shared" si="17"/>
        <v/>
      </c>
      <c r="V24" s="7" t="str">
        <f t="shared" si="2"/>
        <v/>
      </c>
      <c r="W24" s="178" t="str">
        <f t="shared" si="3"/>
        <v/>
      </c>
      <c r="X24" s="209" t="e">
        <f t="shared" si="18"/>
        <v>#N/A</v>
      </c>
      <c r="Y24" s="209" t="e">
        <f t="shared" si="19"/>
        <v>#N/A</v>
      </c>
      <c r="Z24" s="213" t="e">
        <f t="shared" si="20"/>
        <v>#N/A</v>
      </c>
      <c r="AA24" s="213" t="str">
        <f t="shared" si="4"/>
        <v/>
      </c>
      <c r="AB24" s="213" t="e">
        <f t="shared" si="21"/>
        <v>#N/A</v>
      </c>
      <c r="AC24" s="213" t="e">
        <f t="shared" si="22"/>
        <v>#N/A</v>
      </c>
      <c r="AD24" s="11"/>
      <c r="AE24" s="75"/>
      <c r="AF24" s="235" t="str">
        <f t="shared" si="23"/>
        <v/>
      </c>
      <c r="AG24" s="235" t="str">
        <f t="shared" si="24"/>
        <v/>
      </c>
      <c r="AH24" s="235" t="str">
        <f t="shared" si="5"/>
        <v/>
      </c>
      <c r="AI24" s="235" t="str">
        <f t="shared" si="6"/>
        <v/>
      </c>
      <c r="AJ24" s="235" t="str">
        <f t="shared" si="7"/>
        <v/>
      </c>
      <c r="AK24" s="235" t="str">
        <f t="shared" si="8"/>
        <v/>
      </c>
      <c r="AL24" s="235" t="str">
        <f t="shared" si="9"/>
        <v/>
      </c>
      <c r="AM24" s="235" t="str">
        <f t="shared" si="10"/>
        <v/>
      </c>
      <c r="AN24" s="235" t="str">
        <f t="shared" si="11"/>
        <v/>
      </c>
      <c r="AO24" s="235" t="str">
        <f t="shared" si="12"/>
        <v/>
      </c>
      <c r="AP24" s="228"/>
      <c r="AQ24" s="232" t="str">
        <f t="shared" si="25"/>
        <v/>
      </c>
      <c r="AR24" s="236" t="str">
        <f t="shared" si="26"/>
        <v/>
      </c>
      <c r="AS24" s="236" t="str">
        <f t="shared" si="27"/>
        <v/>
      </c>
      <c r="AT24" s="236" t="str">
        <f t="shared" si="29"/>
        <v/>
      </c>
      <c r="AU24" s="236" t="str">
        <f t="shared" si="13"/>
        <v/>
      </c>
      <c r="AV24" s="236" t="str">
        <f t="shared" si="14"/>
        <v/>
      </c>
      <c r="AW24" s="236" t="str">
        <f t="shared" si="15"/>
        <v/>
      </c>
      <c r="AX24" s="228"/>
      <c r="AY24" s="75"/>
      <c r="AZ24" s="11"/>
      <c r="BA24" s="6"/>
    </row>
    <row r="25" spans="1:53" x14ac:dyDescent="0.45">
      <c r="A25" s="8">
        <v>16</v>
      </c>
      <c r="B25" s="180"/>
      <c r="C25" s="83"/>
      <c r="D25" s="202"/>
      <c r="E25" s="203"/>
      <c r="F25" s="204" t="str">
        <f t="shared" si="16"/>
        <v/>
      </c>
      <c r="G25" s="187"/>
      <c r="H25" s="74"/>
      <c r="I25" s="10"/>
      <c r="J25" s="55"/>
      <c r="K25" s="55"/>
      <c r="L25" s="55"/>
      <c r="M25" s="55"/>
      <c r="N25" s="55"/>
      <c r="O25" s="55"/>
      <c r="P25" s="10"/>
      <c r="Q25" s="10"/>
      <c r="R25" s="65" t="str">
        <f>IF(COUNT(H25:Q25)=0,"",IF(AND(ISBLANK(F25),ISBLANK(#REF!)),0,IF(COUNT(H25:Q25)=1,0,IF(ISNUMBER(C25),COUNT(H25:Q25),0))))</f>
        <v/>
      </c>
      <c r="S25" s="110" t="str">
        <f t="shared" si="0"/>
        <v/>
      </c>
      <c r="T25" s="111" t="str">
        <f t="shared" si="1"/>
        <v/>
      </c>
      <c r="U25" s="35" t="str">
        <f t="shared" si="17"/>
        <v/>
      </c>
      <c r="V25" s="7" t="str">
        <f t="shared" si="2"/>
        <v/>
      </c>
      <c r="W25" s="178" t="str">
        <f t="shared" si="3"/>
        <v/>
      </c>
      <c r="X25" s="209" t="e">
        <f t="shared" si="18"/>
        <v>#N/A</v>
      </c>
      <c r="Y25" s="209" t="e">
        <f t="shared" si="19"/>
        <v>#N/A</v>
      </c>
      <c r="Z25" s="213" t="e">
        <f t="shared" si="20"/>
        <v>#N/A</v>
      </c>
      <c r="AA25" s="213" t="str">
        <f t="shared" si="4"/>
        <v/>
      </c>
      <c r="AB25" s="213" t="e">
        <f t="shared" si="21"/>
        <v>#N/A</v>
      </c>
      <c r="AC25" s="213" t="e">
        <f t="shared" si="22"/>
        <v>#N/A</v>
      </c>
      <c r="AD25" s="11"/>
      <c r="AE25" s="75"/>
      <c r="AF25" s="195" t="str">
        <f t="shared" si="23"/>
        <v/>
      </c>
      <c r="AG25" s="195" t="str">
        <f t="shared" si="24"/>
        <v/>
      </c>
      <c r="AH25" s="195" t="str">
        <f t="shared" si="5"/>
        <v/>
      </c>
      <c r="AI25" s="195" t="str">
        <f t="shared" si="6"/>
        <v/>
      </c>
      <c r="AJ25" s="195" t="str">
        <f t="shared" si="7"/>
        <v/>
      </c>
      <c r="AK25" s="195" t="str">
        <f t="shared" si="8"/>
        <v/>
      </c>
      <c r="AL25" s="195" t="str">
        <f t="shared" si="9"/>
        <v/>
      </c>
      <c r="AM25" s="195" t="str">
        <f t="shared" si="10"/>
        <v/>
      </c>
      <c r="AN25" s="195" t="str">
        <f t="shared" si="11"/>
        <v/>
      </c>
      <c r="AO25" s="195" t="str">
        <f t="shared" si="12"/>
        <v/>
      </c>
      <c r="AP25" s="75"/>
      <c r="AQ25" s="194" t="str">
        <f t="shared" si="25"/>
        <v/>
      </c>
      <c r="AR25" s="198" t="str">
        <f t="shared" si="26"/>
        <v/>
      </c>
      <c r="AS25" s="198" t="str">
        <f t="shared" si="27"/>
        <v/>
      </c>
      <c r="AT25" s="198" t="str">
        <f t="shared" si="29"/>
        <v/>
      </c>
      <c r="AU25" s="198" t="str">
        <f t="shared" si="13"/>
        <v/>
      </c>
      <c r="AV25" s="198" t="str">
        <f t="shared" si="14"/>
        <v/>
      </c>
      <c r="AW25" s="198" t="str">
        <f t="shared" si="15"/>
        <v/>
      </c>
      <c r="AX25" s="75"/>
      <c r="AY25" s="75"/>
      <c r="AZ25" s="11"/>
    </row>
    <row r="26" spans="1:53" x14ac:dyDescent="0.45">
      <c r="A26" s="8">
        <v>17</v>
      </c>
      <c r="B26" s="180"/>
      <c r="C26" s="83"/>
      <c r="D26" s="202"/>
      <c r="E26" s="203"/>
      <c r="F26" s="204" t="str">
        <f t="shared" si="16"/>
        <v/>
      </c>
      <c r="G26" s="187"/>
      <c r="H26" s="74"/>
      <c r="I26" s="10"/>
      <c r="J26" s="55"/>
      <c r="K26" s="55"/>
      <c r="L26" s="55"/>
      <c r="M26" s="55"/>
      <c r="N26" s="55"/>
      <c r="O26" s="55"/>
      <c r="P26" s="10"/>
      <c r="Q26" s="10"/>
      <c r="R26" s="65" t="str">
        <f>IF(COUNT(H26:Q26)=0,"",IF(AND(ISBLANK(F26),ISBLANK(#REF!)),0,IF(COUNT(H26:Q26)=1,0,IF(ISNUMBER(C26),COUNT(H26:Q26),0))))</f>
        <v/>
      </c>
      <c r="S26" s="110" t="str">
        <f t="shared" si="0"/>
        <v/>
      </c>
      <c r="T26" s="111" t="str">
        <f t="shared" si="1"/>
        <v/>
      </c>
      <c r="U26" s="35" t="str">
        <f t="shared" si="17"/>
        <v/>
      </c>
      <c r="V26" s="7" t="str">
        <f t="shared" si="2"/>
        <v/>
      </c>
      <c r="W26" s="178" t="str">
        <f t="shared" si="3"/>
        <v/>
      </c>
      <c r="X26" s="209" t="e">
        <f t="shared" si="18"/>
        <v>#N/A</v>
      </c>
      <c r="Y26" s="209" t="e">
        <f t="shared" si="19"/>
        <v>#N/A</v>
      </c>
      <c r="Z26" s="213" t="e">
        <f t="shared" si="20"/>
        <v>#N/A</v>
      </c>
      <c r="AA26" s="213" t="str">
        <f t="shared" si="4"/>
        <v/>
      </c>
      <c r="AB26" s="213" t="e">
        <f t="shared" si="21"/>
        <v>#N/A</v>
      </c>
      <c r="AC26" s="213" t="e">
        <f t="shared" si="22"/>
        <v>#N/A</v>
      </c>
      <c r="AD26" s="11"/>
      <c r="AE26" s="228"/>
      <c r="AF26" s="195" t="str">
        <f t="shared" si="23"/>
        <v/>
      </c>
      <c r="AG26" s="195" t="str">
        <f t="shared" si="24"/>
        <v/>
      </c>
      <c r="AH26" s="195" t="str">
        <f t="shared" si="5"/>
        <v/>
      </c>
      <c r="AI26" s="195" t="str">
        <f t="shared" si="6"/>
        <v/>
      </c>
      <c r="AJ26" s="195" t="str">
        <f t="shared" si="7"/>
        <v/>
      </c>
      <c r="AK26" s="195" t="str">
        <f t="shared" si="8"/>
        <v/>
      </c>
      <c r="AL26" s="195" t="str">
        <f t="shared" si="9"/>
        <v/>
      </c>
      <c r="AM26" s="195" t="str">
        <f t="shared" si="10"/>
        <v/>
      </c>
      <c r="AN26" s="195" t="str">
        <f t="shared" si="11"/>
        <v/>
      </c>
      <c r="AO26" s="195" t="str">
        <f t="shared" si="12"/>
        <v/>
      </c>
      <c r="AP26" s="192"/>
      <c r="AQ26" s="194" t="str">
        <f t="shared" si="25"/>
        <v/>
      </c>
      <c r="AR26" s="198" t="str">
        <f t="shared" si="26"/>
        <v/>
      </c>
      <c r="AS26" s="198" t="str">
        <f t="shared" si="27"/>
        <v/>
      </c>
      <c r="AT26" s="198" t="str">
        <f t="shared" si="29"/>
        <v/>
      </c>
      <c r="AU26" s="198" t="str">
        <f t="shared" si="13"/>
        <v/>
      </c>
      <c r="AV26" s="198" t="str">
        <f t="shared" si="14"/>
        <v/>
      </c>
      <c r="AW26" s="198" t="str">
        <f t="shared" si="15"/>
        <v/>
      </c>
      <c r="AX26" s="75"/>
      <c r="AY26" s="75"/>
    </row>
    <row r="27" spans="1:53" x14ac:dyDescent="0.45">
      <c r="A27" s="8">
        <v>18</v>
      </c>
      <c r="B27" s="180"/>
      <c r="C27" s="83"/>
      <c r="D27" s="202"/>
      <c r="E27" s="203"/>
      <c r="F27" s="204" t="str">
        <f t="shared" si="16"/>
        <v/>
      </c>
      <c r="G27" s="187"/>
      <c r="H27" s="74"/>
      <c r="I27" s="10"/>
      <c r="J27" s="55"/>
      <c r="K27" s="55"/>
      <c r="L27" s="55"/>
      <c r="M27" s="55"/>
      <c r="N27" s="55"/>
      <c r="O27" s="55"/>
      <c r="P27" s="10"/>
      <c r="Q27" s="10"/>
      <c r="R27" s="65" t="str">
        <f>IF(COUNT(H27:Q27)=0,"",IF(AND(ISBLANK(F27),ISBLANK(#REF!)),0,IF(COUNT(H27:Q27)=1,0,IF(ISNUMBER(C27),COUNT(H27:Q27),0))))</f>
        <v/>
      </c>
      <c r="S27" s="110" t="str">
        <f t="shared" si="0"/>
        <v/>
      </c>
      <c r="T27" s="111" t="str">
        <f t="shared" si="1"/>
        <v/>
      </c>
      <c r="U27" s="35" t="str">
        <f t="shared" si="17"/>
        <v/>
      </c>
      <c r="V27" s="7" t="str">
        <f t="shared" si="2"/>
        <v/>
      </c>
      <c r="W27" s="178" t="str">
        <f t="shared" si="3"/>
        <v/>
      </c>
      <c r="X27" s="209" t="e">
        <f t="shared" si="18"/>
        <v>#N/A</v>
      </c>
      <c r="Y27" s="209" t="e">
        <f t="shared" si="19"/>
        <v>#N/A</v>
      </c>
      <c r="Z27" s="213" t="e">
        <f t="shared" si="20"/>
        <v>#N/A</v>
      </c>
      <c r="AA27" s="213" t="str">
        <f t="shared" si="4"/>
        <v/>
      </c>
      <c r="AB27" s="213" t="e">
        <f t="shared" si="21"/>
        <v>#N/A</v>
      </c>
      <c r="AC27" s="213" t="e">
        <f t="shared" si="22"/>
        <v>#N/A</v>
      </c>
      <c r="AD27" s="11"/>
      <c r="AE27" s="228" t="s">
        <v>69</v>
      </c>
      <c r="AF27" s="195" t="str">
        <f t="shared" si="23"/>
        <v/>
      </c>
      <c r="AG27" s="195" t="str">
        <f t="shared" si="24"/>
        <v/>
      </c>
      <c r="AH27" s="195" t="str">
        <f t="shared" si="5"/>
        <v/>
      </c>
      <c r="AI27" s="195" t="str">
        <f t="shared" si="6"/>
        <v/>
      </c>
      <c r="AJ27" s="195" t="str">
        <f t="shared" si="7"/>
        <v/>
      </c>
      <c r="AK27" s="195" t="str">
        <f t="shared" si="8"/>
        <v/>
      </c>
      <c r="AL27" s="195" t="str">
        <f t="shared" si="9"/>
        <v/>
      </c>
      <c r="AM27" s="195" t="str">
        <f t="shared" si="10"/>
        <v/>
      </c>
      <c r="AN27" s="195" t="str">
        <f t="shared" si="11"/>
        <v/>
      </c>
      <c r="AO27" s="195" t="str">
        <f t="shared" si="12"/>
        <v/>
      </c>
      <c r="AP27" s="192"/>
      <c r="AQ27" s="194" t="str">
        <f t="shared" si="25"/>
        <v/>
      </c>
      <c r="AR27" s="198" t="str">
        <f t="shared" si="26"/>
        <v/>
      </c>
      <c r="AS27" s="198" t="str">
        <f t="shared" si="27"/>
        <v/>
      </c>
      <c r="AT27" s="198" t="str">
        <f t="shared" si="29"/>
        <v/>
      </c>
      <c r="AU27" s="198" t="str">
        <f t="shared" si="13"/>
        <v/>
      </c>
      <c r="AV27" s="198" t="str">
        <f t="shared" si="14"/>
        <v/>
      </c>
      <c r="AW27" s="198" t="str">
        <f t="shared" si="15"/>
        <v/>
      </c>
      <c r="AX27" s="75"/>
      <c r="AY27" s="75"/>
    </row>
    <row r="28" spans="1:53" x14ac:dyDescent="0.45">
      <c r="A28" s="8">
        <v>19</v>
      </c>
      <c r="B28" s="180"/>
      <c r="C28" s="83"/>
      <c r="D28" s="202"/>
      <c r="E28" s="203"/>
      <c r="F28" s="204" t="str">
        <f t="shared" si="16"/>
        <v/>
      </c>
      <c r="G28" s="187"/>
      <c r="H28" s="74"/>
      <c r="I28" s="10"/>
      <c r="J28" s="55"/>
      <c r="K28" s="55"/>
      <c r="L28" s="55"/>
      <c r="M28" s="55"/>
      <c r="N28" s="55"/>
      <c r="O28" s="55"/>
      <c r="P28" s="10"/>
      <c r="Q28" s="10"/>
      <c r="R28" s="65" t="str">
        <f>IF(COUNT(H28:Q28)=0,"",IF(AND(ISBLANK(F28),ISBLANK(#REF!)),0,IF(COUNT(H28:Q28)=1,0,IF(ISNUMBER(C28),COUNT(H28:Q28),0))))</f>
        <v/>
      </c>
      <c r="S28" s="110" t="str">
        <f t="shared" si="0"/>
        <v/>
      </c>
      <c r="T28" s="111" t="str">
        <f t="shared" si="1"/>
        <v/>
      </c>
      <c r="U28" s="35" t="str">
        <f t="shared" si="17"/>
        <v/>
      </c>
      <c r="V28" s="7" t="str">
        <f t="shared" si="2"/>
        <v/>
      </c>
      <c r="W28" s="178" t="str">
        <f t="shared" si="3"/>
        <v/>
      </c>
      <c r="X28" s="209" t="e">
        <f t="shared" si="18"/>
        <v>#N/A</v>
      </c>
      <c r="Y28" s="209" t="e">
        <f t="shared" si="19"/>
        <v>#N/A</v>
      </c>
      <c r="Z28" s="213" t="e">
        <f t="shared" si="20"/>
        <v>#N/A</v>
      </c>
      <c r="AA28" s="213" t="str">
        <f t="shared" si="4"/>
        <v/>
      </c>
      <c r="AB28" s="213" t="e">
        <f t="shared" si="21"/>
        <v>#N/A</v>
      </c>
      <c r="AC28" s="213" t="e">
        <f t="shared" si="22"/>
        <v>#N/A</v>
      </c>
      <c r="AD28" s="11"/>
      <c r="AE28" s="228" t="s">
        <v>70</v>
      </c>
      <c r="AF28" s="193" t="str">
        <f t="shared" si="23"/>
        <v/>
      </c>
      <c r="AG28" s="193" t="str">
        <f t="shared" si="24"/>
        <v/>
      </c>
      <c r="AH28" s="193" t="str">
        <f t="shared" si="5"/>
        <v/>
      </c>
      <c r="AI28" s="193" t="str">
        <f t="shared" si="6"/>
        <v/>
      </c>
      <c r="AJ28" s="193" t="str">
        <f t="shared" si="7"/>
        <v/>
      </c>
      <c r="AK28" s="193" t="str">
        <f t="shared" si="8"/>
        <v/>
      </c>
      <c r="AL28" s="193" t="str">
        <f t="shared" si="9"/>
        <v/>
      </c>
      <c r="AM28" s="193" t="str">
        <f t="shared" si="10"/>
        <v/>
      </c>
      <c r="AN28" s="193" t="str">
        <f t="shared" si="11"/>
        <v/>
      </c>
      <c r="AO28" s="193" t="str">
        <f t="shared" si="12"/>
        <v/>
      </c>
      <c r="AP28" s="192"/>
      <c r="AQ28" s="194" t="str">
        <f t="shared" si="25"/>
        <v/>
      </c>
      <c r="AR28" s="198" t="str">
        <f t="shared" si="26"/>
        <v/>
      </c>
      <c r="AS28" s="198" t="str">
        <f t="shared" si="27"/>
        <v/>
      </c>
      <c r="AT28" s="198" t="str">
        <f t="shared" si="29"/>
        <v/>
      </c>
      <c r="AU28" s="198" t="str">
        <f t="shared" si="13"/>
        <v/>
      </c>
      <c r="AV28" s="198" t="str">
        <f t="shared" si="14"/>
        <v/>
      </c>
      <c r="AW28" s="198" t="str">
        <f t="shared" si="15"/>
        <v/>
      </c>
      <c r="AX28" s="75"/>
      <c r="AY28" s="75"/>
      <c r="AZ28" s="11"/>
      <c r="BA28" s="11"/>
    </row>
    <row r="29" spans="1:53" ht="14.65" thickBot="1" x14ac:dyDescent="0.5">
      <c r="A29" s="8">
        <v>20</v>
      </c>
      <c r="B29" s="181"/>
      <c r="C29" s="165"/>
      <c r="D29" s="206"/>
      <c r="E29" s="207"/>
      <c r="F29" s="205" t="str">
        <f t="shared" si="16"/>
        <v/>
      </c>
      <c r="G29" s="188"/>
      <c r="H29" s="166"/>
      <c r="I29" s="167"/>
      <c r="J29" s="168"/>
      <c r="K29" s="168"/>
      <c r="L29" s="168"/>
      <c r="M29" s="168"/>
      <c r="N29" s="168"/>
      <c r="O29" s="168"/>
      <c r="P29" s="167"/>
      <c r="Q29" s="169"/>
      <c r="R29" s="171" t="str">
        <f>IF(COUNT(H29:Q29)=0,"",IF(AND(ISBLANK(F29),ISBLANK(#REF!)),0,IF(COUNT(H29:Q29)=1,0,IF(ISNUMBER(C29),COUNT(H29:Q29),0))))</f>
        <v/>
      </c>
      <c r="S29" s="172" t="str">
        <f t="shared" si="0"/>
        <v/>
      </c>
      <c r="T29" s="173" t="str">
        <f t="shared" si="1"/>
        <v/>
      </c>
      <c r="U29" s="174" t="str">
        <f t="shared" si="17"/>
        <v/>
      </c>
      <c r="V29" s="175" t="str">
        <f t="shared" si="2"/>
        <v/>
      </c>
      <c r="W29" s="179" t="str">
        <f t="shared" si="3"/>
        <v/>
      </c>
      <c r="X29" s="209" t="e">
        <f t="shared" si="18"/>
        <v>#N/A</v>
      </c>
      <c r="Y29" s="209" t="e">
        <f t="shared" si="19"/>
        <v>#N/A</v>
      </c>
      <c r="Z29" s="213" t="e">
        <f t="shared" si="20"/>
        <v>#N/A</v>
      </c>
      <c r="AA29" s="213" t="str">
        <f t="shared" si="4"/>
        <v/>
      </c>
      <c r="AB29" s="213" t="e">
        <f>IF(ISBLANK($C29),NA(),IF($Y$4="N",NA(),V29))</f>
        <v>#N/A</v>
      </c>
      <c r="AC29" s="213" t="e">
        <f t="shared" si="22"/>
        <v>#N/A</v>
      </c>
      <c r="AD29" s="11"/>
      <c r="AE29" s="75"/>
      <c r="AF29" s="193" t="str">
        <f t="shared" si="23"/>
        <v/>
      </c>
      <c r="AG29" s="193" t="str">
        <f t="shared" si="24"/>
        <v/>
      </c>
      <c r="AH29" s="193" t="str">
        <f t="shared" si="5"/>
        <v/>
      </c>
      <c r="AI29" s="193" t="str">
        <f t="shared" si="6"/>
        <v/>
      </c>
      <c r="AJ29" s="193" t="str">
        <f t="shared" si="7"/>
        <v/>
      </c>
      <c r="AK29" s="193" t="str">
        <f t="shared" si="8"/>
        <v/>
      </c>
      <c r="AL29" s="193" t="str">
        <f t="shared" si="9"/>
        <v/>
      </c>
      <c r="AM29" s="193" t="str">
        <f t="shared" si="10"/>
        <v/>
      </c>
      <c r="AN29" s="193" t="str">
        <f t="shared" si="11"/>
        <v/>
      </c>
      <c r="AO29" s="193" t="str">
        <f t="shared" si="12"/>
        <v/>
      </c>
      <c r="AP29" s="192"/>
      <c r="AQ29" s="194" t="str">
        <f t="shared" si="25"/>
        <v/>
      </c>
      <c r="AR29" s="198" t="str">
        <f t="shared" si="26"/>
        <v/>
      </c>
      <c r="AS29" s="198" t="str">
        <f t="shared" si="27"/>
        <v/>
      </c>
      <c r="AT29" s="198" t="str">
        <f t="shared" si="29"/>
        <v/>
      </c>
      <c r="AU29" s="198" t="str">
        <f t="shared" si="13"/>
        <v/>
      </c>
      <c r="AV29" s="198" t="str">
        <f t="shared" si="14"/>
        <v/>
      </c>
      <c r="AW29" s="198" t="str">
        <f t="shared" si="15"/>
        <v/>
      </c>
      <c r="AX29" s="75"/>
      <c r="AY29" s="75"/>
      <c r="AZ29" s="11"/>
      <c r="BA29" s="11"/>
    </row>
    <row r="30" spans="1:53" ht="14.65" thickBot="1" x14ac:dyDescent="0.5">
      <c r="M30" s="4"/>
      <c r="N30" s="4"/>
      <c r="O30" s="4"/>
      <c r="P30" s="113"/>
      <c r="Q30" s="13"/>
      <c r="R30" s="75"/>
      <c r="S30" s="75"/>
      <c r="T30" s="170"/>
      <c r="U30" s="70"/>
      <c r="V30" s="70"/>
      <c r="W30" s="70"/>
      <c r="X30" s="191"/>
      <c r="Y30" s="11"/>
      <c r="Z30" s="11"/>
      <c r="AA30" s="11"/>
      <c r="AB30" s="11"/>
      <c r="AC30" s="11"/>
      <c r="AD30" s="11"/>
      <c r="AE30" s="75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75"/>
      <c r="AR30" s="75"/>
      <c r="AS30" s="75"/>
      <c r="AT30" s="75"/>
      <c r="AU30" s="75"/>
      <c r="AV30" s="75"/>
      <c r="AW30" s="75"/>
      <c r="AX30" s="75"/>
      <c r="AY30" s="75"/>
      <c r="AZ30" s="11"/>
      <c r="BA30" s="11"/>
    </row>
    <row r="31" spans="1:53" ht="15" thickTop="1" thickBot="1" x14ac:dyDescent="0.5">
      <c r="B31" s="219"/>
      <c r="C31" s="220" t="s">
        <v>74</v>
      </c>
      <c r="D31" s="221" t="s">
        <v>87</v>
      </c>
      <c r="E31" s="222" t="s">
        <v>66</v>
      </c>
      <c r="F31" s="223" t="s">
        <v>87</v>
      </c>
      <c r="G31" s="218" t="s">
        <v>67</v>
      </c>
      <c r="H31" s="216"/>
      <c r="I31" s="104" t="s">
        <v>78</v>
      </c>
      <c r="J31" s="105">
        <v>0.05</v>
      </c>
      <c r="L31" s="240" t="s">
        <v>24</v>
      </c>
      <c r="M31" s="241"/>
      <c r="N31" s="87" t="s">
        <v>73</v>
      </c>
      <c r="O31" s="4"/>
      <c r="P31" s="4"/>
      <c r="Q31" s="63" t="s">
        <v>130</v>
      </c>
      <c r="R31" s="71" t="e">
        <f>IF(ISBLANK($F$7),"",AVERAGE(U10:U29))</f>
        <v>#DIV/0!</v>
      </c>
      <c r="U31" s="28" t="s">
        <v>131</v>
      </c>
      <c r="V31" s="71" t="e">
        <f>IF(ISBLANK($F$7),"",Calc!G29)</f>
        <v>#DIV/0!</v>
      </c>
      <c r="W31" s="75"/>
      <c r="X31" s="11"/>
      <c r="AE31" s="141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11"/>
      <c r="BA31" s="11"/>
    </row>
    <row r="32" spans="1:53" ht="15.75" x14ac:dyDescent="0.45">
      <c r="B32" s="69" t="s">
        <v>65</v>
      </c>
      <c r="C32" s="121" t="e">
        <f>IF(ISBLANK(F7),"",Calc!C7)</f>
        <v>#DIV/0!</v>
      </c>
      <c r="D32" s="125" t="e">
        <f>Calc!D7</f>
        <v>#DIV/0!</v>
      </c>
      <c r="E32" s="123" t="e">
        <f>IF(ISBLANK(F7),"",Calc!C8)</f>
        <v>#DIV/0!</v>
      </c>
      <c r="F32" s="125" t="e">
        <f>Calc!D8</f>
        <v>#DIV/0!</v>
      </c>
      <c r="G32" s="217" t="s">
        <v>70</v>
      </c>
      <c r="I32" s="162" t="s">
        <v>67</v>
      </c>
      <c r="J32" s="159" t="s">
        <v>70</v>
      </c>
      <c r="L32" s="114" t="s">
        <v>72</v>
      </c>
      <c r="M32" s="201" t="str">
        <f>IF(OR(ISBLANK($F$7),COUNT(G10:G29)=0),"",Calc!Q32)</f>
        <v/>
      </c>
      <c r="N32" s="115">
        <f>Calc!N29</f>
        <v>0</v>
      </c>
      <c r="O32" s="6"/>
      <c r="P32" s="4"/>
      <c r="Q32" s="12" t="s">
        <v>139</v>
      </c>
      <c r="R32" s="29" t="e">
        <f>IF(ISBLANK($F$7),"",STDEV(U10:U29))</f>
        <v>#DIV/0!</v>
      </c>
      <c r="U32" s="28" t="s">
        <v>27</v>
      </c>
      <c r="V32" s="29" t="e">
        <f>IF(ISBLANK($F$7),"",Calc!G32)</f>
        <v>#DIV/0!</v>
      </c>
      <c r="W32" s="11"/>
      <c r="X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</row>
    <row r="33" spans="2:51" ht="15.75" x14ac:dyDescent="0.55000000000000004">
      <c r="B33" s="69" t="s">
        <v>9</v>
      </c>
      <c r="C33" s="122" t="e">
        <f>IF(OR(ISBLANK(F7),Calc!Q32=0),"",Calc!C5)</f>
        <v>#DIV/0!</v>
      </c>
      <c r="D33" s="125" t="e">
        <f>Calc!D5</f>
        <v>#DIV/0!</v>
      </c>
      <c r="E33" s="124" t="e">
        <f>IF(OR(ISBLANK(F7),Calc!Q32=0),"",Calc!C6)</f>
        <v>#DIV/0!</v>
      </c>
      <c r="F33" s="125" t="e">
        <f>Calc!D6</f>
        <v>#DIV/0!</v>
      </c>
      <c r="G33" s="215" t="s">
        <v>69</v>
      </c>
      <c r="H33" s="160"/>
      <c r="I33" s="160"/>
      <c r="J33" s="161" t="s">
        <v>127</v>
      </c>
      <c r="L33" s="116" t="s">
        <v>71</v>
      </c>
      <c r="M33" s="111" t="e">
        <f>IF(OR(ISBLANK($F$7)),"",Calc!L32)</f>
        <v>#DIV/0!</v>
      </c>
      <c r="N33" s="117">
        <f>Calc!J31</f>
        <v>0</v>
      </c>
      <c r="O33" s="4"/>
      <c r="P33" s="4"/>
      <c r="Q33" s="12" t="s">
        <v>15</v>
      </c>
      <c r="R33" s="29" t="e">
        <f>IF(ISBLANK($F$7),"",R32/SQRT(COUNT(U10:U29)))</f>
        <v>#DIV/0!</v>
      </c>
      <c r="U33" s="28" t="s">
        <v>132</v>
      </c>
      <c r="V33" s="29" t="e">
        <f>IF(ISBLANK($F$7),"",Calc!H29)</f>
        <v>#DIV/0!</v>
      </c>
      <c r="W33" s="196" t="e">
        <f>AVERAGE(V10:V19)</f>
        <v>#DIV/0!</v>
      </c>
      <c r="X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2:51" ht="21" x14ac:dyDescent="0.75">
      <c r="B34" s="82" t="s">
        <v>68</v>
      </c>
      <c r="C34" s="86" t="e">
        <f>IF(ISBLANK(F7),"",Calc!C11^2)</f>
        <v>#DIV/0!</v>
      </c>
      <c r="E34" s="75"/>
      <c r="I34" s="163" t="s">
        <v>67</v>
      </c>
      <c r="J34" s="164" t="s">
        <v>70</v>
      </c>
      <c r="K34" s="118"/>
      <c r="L34" s="118"/>
      <c r="M34" s="4"/>
      <c r="N34" s="4"/>
      <c r="O34" s="4"/>
      <c r="P34" s="4"/>
      <c r="Q34" s="108" t="s">
        <v>85</v>
      </c>
      <c r="R34" s="30" t="e">
        <f>IF(ISBLANK($F$7),"",TINV(R37,R36))</f>
        <v>#NUM!</v>
      </c>
      <c r="U34" s="28" t="s">
        <v>28</v>
      </c>
      <c r="V34" s="29" t="e">
        <f>IF(ISBLANK(F7),"",STDEV(Calc!H9:H28)/SQRT(COUNT(Calc!H9:H28)))</f>
        <v>#DIV/0!</v>
      </c>
      <c r="W34" s="11"/>
      <c r="X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2:51" ht="21" x14ac:dyDescent="0.75">
      <c r="J35" s="112"/>
      <c r="K35" s="112"/>
      <c r="L35" s="112"/>
      <c r="M35" s="4"/>
      <c r="N35" s="4"/>
      <c r="O35" s="4"/>
      <c r="P35" s="4"/>
      <c r="Q35" s="108" t="s">
        <v>84</v>
      </c>
      <c r="R35" s="30" t="e">
        <f>IF(ISBLANK($F$7),"",R31/R33)</f>
        <v>#DIV/0!</v>
      </c>
      <c r="U35" s="28" t="s">
        <v>14</v>
      </c>
      <c r="V35" s="32" t="e">
        <f>IF(ISBLANK(F7),"",V31-V33)</f>
        <v>#DIV/0!</v>
      </c>
      <c r="W35" s="11"/>
      <c r="X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2:51" ht="21" x14ac:dyDescent="0.75">
      <c r="J36" s="112"/>
      <c r="K36" s="112"/>
      <c r="L36" s="112"/>
      <c r="M36" s="4"/>
      <c r="N36" s="4"/>
      <c r="O36" s="4"/>
      <c r="P36" s="4"/>
      <c r="Q36" s="12" t="s">
        <v>4</v>
      </c>
      <c r="R36" s="31">
        <f>IF(ISBLANK($F$7),"",COUNT(U10:U29)-1)</f>
        <v>-1</v>
      </c>
      <c r="U36" s="108" t="s">
        <v>85</v>
      </c>
      <c r="V36" s="29" t="e">
        <f>IF(ISBLANK(F7),"",TINV(V38,R36))</f>
        <v>#NUM!</v>
      </c>
      <c r="W36" s="11"/>
      <c r="X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2:51" ht="21.4" thickBot="1" x14ac:dyDescent="0.5">
      <c r="J37" s="112"/>
      <c r="K37" s="112"/>
      <c r="L37" s="112"/>
      <c r="M37" s="4"/>
      <c r="N37" s="4"/>
      <c r="O37" s="4"/>
      <c r="P37" s="4"/>
      <c r="Q37" s="57" t="s">
        <v>45</v>
      </c>
      <c r="R37" s="56">
        <v>0.05</v>
      </c>
      <c r="U37" s="107" t="s">
        <v>84</v>
      </c>
      <c r="V37" s="30" t="e">
        <f>IF(ISBLANK(F7),"",Calc!J32)</f>
        <v>#DIV/0!</v>
      </c>
      <c r="W37" s="11"/>
      <c r="X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2:51" ht="14.65" thickBot="1" x14ac:dyDescent="0.5">
      <c r="M38" s="4"/>
      <c r="N38" s="4"/>
      <c r="O38" s="4"/>
      <c r="P38" s="4"/>
      <c r="Q38" s="12" t="s">
        <v>133</v>
      </c>
      <c r="R38" s="41" t="e">
        <f>IF(ISBLANK($F$7),"",TDIST(ABS(R35),R36,2))</f>
        <v>#DIV/0!</v>
      </c>
      <c r="U38" s="57" t="s">
        <v>46</v>
      </c>
      <c r="V38" s="58">
        <v>0.05</v>
      </c>
      <c r="W38" s="11"/>
      <c r="X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2:51" ht="14.65" thickBot="1" x14ac:dyDescent="0.5">
      <c r="M39" s="4"/>
      <c r="N39" s="4"/>
      <c r="O39" s="132"/>
      <c r="P39" s="132"/>
      <c r="Q39" s="132"/>
      <c r="R39" s="133" t="e">
        <f>IF(ISBLANK(F7),"",IF(ABS(R35)&gt;R34,"Bias different from zero","Bias not different from zero"))</f>
        <v>#DIV/0!</v>
      </c>
      <c r="U39" s="12" t="str">
        <f>Q38</f>
        <v>p-value (two-sided):</v>
      </c>
      <c r="V39" s="36" t="e">
        <f>IF(ISBLANK(F7),"",TDIST(ABS(V37),COUNT(Calc!G9:G28)-1,2))</f>
        <v>#DIV/0!</v>
      </c>
      <c r="W39" s="11"/>
      <c r="X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2:51" x14ac:dyDescent="0.45">
      <c r="M40" s="4"/>
      <c r="N40" s="4"/>
      <c r="O40" s="4"/>
      <c r="P40" s="4"/>
      <c r="U40" s="12"/>
      <c r="V40" s="27" t="e">
        <f>IF(ISBLANK(F7),"",IF(ABS(V37)&gt;V36,"User and peer group different","User and peer group not different"))</f>
        <v>#DIV/0!</v>
      </c>
      <c r="W40" s="11"/>
      <c r="X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2:51" x14ac:dyDescent="0.45">
      <c r="M41" s="4"/>
      <c r="N41" s="4"/>
      <c r="O41" s="4"/>
      <c r="P41" s="4"/>
      <c r="Q41" s="12"/>
      <c r="U41" s="11"/>
      <c r="V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</row>
    <row r="42" spans="2:51" x14ac:dyDescent="0.45">
      <c r="M42" s="4"/>
      <c r="N42" s="4"/>
      <c r="O42" s="4"/>
      <c r="P42" s="199" t="s">
        <v>106</v>
      </c>
      <c r="Q42" s="200" t="s">
        <v>144</v>
      </c>
      <c r="R42" s="200"/>
      <c r="U42" s="11"/>
      <c r="V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2:51" ht="14.65" thickBot="1" x14ac:dyDescent="0.5">
      <c r="M43" s="4"/>
      <c r="N43" s="4"/>
      <c r="O43" s="4"/>
      <c r="P43" s="134"/>
      <c r="Q43" s="87" t="s">
        <v>99</v>
      </c>
      <c r="R43" s="87" t="s">
        <v>100</v>
      </c>
      <c r="S43" s="87" t="s">
        <v>101</v>
      </c>
      <c r="T43" s="87" t="s">
        <v>107</v>
      </c>
      <c r="U43" s="87" t="s">
        <v>110</v>
      </c>
      <c r="V43" s="87" t="s">
        <v>109</v>
      </c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2:51" x14ac:dyDescent="0.45">
      <c r="L44" s="11"/>
      <c r="O44" s="4"/>
      <c r="P44" s="152" t="s">
        <v>115</v>
      </c>
      <c r="Q44" s="149">
        <f>SUM(AW10:AW20)</f>
        <v>0</v>
      </c>
      <c r="R44" s="147">
        <f>COUNT(AF10:AF29)-1</f>
        <v>-1</v>
      </c>
      <c r="S44" s="146">
        <f>Q44/R44</f>
        <v>0</v>
      </c>
      <c r="T44" s="148" t="e">
        <f>S44/S45</f>
        <v>#DIV/0!</v>
      </c>
      <c r="U44" s="148" t="e">
        <f>FDIST(T44,R44,R45)</f>
        <v>#DIV/0!</v>
      </c>
      <c r="V44" s="138" t="e">
        <f>_xlfn.F.INV(0.95,R44,R45)</f>
        <v>#NUM!</v>
      </c>
    </row>
    <row r="45" spans="2:51" x14ac:dyDescent="0.45">
      <c r="L45" s="11"/>
      <c r="O45" s="4"/>
      <c r="P45" s="69" t="s">
        <v>114</v>
      </c>
      <c r="Q45" s="150">
        <f>SUM(AU10:AU29)</f>
        <v>0</v>
      </c>
      <c r="R45" s="135">
        <f>R46-R44</f>
        <v>0</v>
      </c>
      <c r="S45" s="136" t="e">
        <f>Q45/R45</f>
        <v>#DIV/0!</v>
      </c>
      <c r="T45" s="140"/>
      <c r="U45" s="11"/>
    </row>
    <row r="46" spans="2:51" ht="14.65" thickBot="1" x14ac:dyDescent="0.5">
      <c r="L46" s="11"/>
      <c r="O46" s="4"/>
      <c r="P46" s="153" t="s">
        <v>108</v>
      </c>
      <c r="Q46" s="151" t="e">
        <f>R46*VAR(AF10:AN29)</f>
        <v>#N/A</v>
      </c>
      <c r="R46" s="137">
        <f>COUNT(AF10:AO29)-1</f>
        <v>-1</v>
      </c>
      <c r="S46" s="11"/>
      <c r="T46" s="237" t="e">
        <f>IF(U44&lt;V44,"Diff between z-values","No diff between z-values")</f>
        <v>#DIV/0!</v>
      </c>
      <c r="U46" s="238"/>
      <c r="V46" s="239"/>
    </row>
    <row r="47" spans="2:51" x14ac:dyDescent="0.45">
      <c r="L47" s="11"/>
      <c r="O47" s="4"/>
      <c r="P47" s="154" t="s">
        <v>113</v>
      </c>
      <c r="Q47" s="155"/>
      <c r="R47" s="155"/>
      <c r="S47" s="156"/>
      <c r="T47" s="11"/>
      <c r="U47" s="11"/>
    </row>
    <row r="48" spans="2:51" ht="14.65" thickBot="1" x14ac:dyDescent="0.5">
      <c r="H48" s="14"/>
      <c r="M48" s="4"/>
      <c r="N48" s="4"/>
      <c r="O48" s="4"/>
      <c r="Q48" s="157" t="s">
        <v>117</v>
      </c>
      <c r="R48" s="157" t="s">
        <v>118</v>
      </c>
      <c r="S48" s="11"/>
      <c r="T48" s="11"/>
      <c r="U48" s="11"/>
    </row>
    <row r="49" spans="2:21" x14ac:dyDescent="0.45">
      <c r="H49" s="15"/>
      <c r="M49" s="4"/>
      <c r="N49" s="4"/>
      <c r="O49" s="4"/>
      <c r="P49" s="69" t="s">
        <v>141</v>
      </c>
      <c r="Q49" s="139" t="e">
        <f>MAX(0,(S44-S45)/(AVERAGE(R10:R29)-VAR(R10:R29)/SUM(R10:R29)))</f>
        <v>#DIV/0!</v>
      </c>
      <c r="R49" s="138" t="e">
        <f>SQRT(Q49)</f>
        <v>#DIV/0!</v>
      </c>
      <c r="S49" s="11"/>
      <c r="T49" s="11"/>
      <c r="U49" s="11"/>
    </row>
    <row r="50" spans="2:21" x14ac:dyDescent="0.45">
      <c r="H50" s="15"/>
      <c r="M50" s="4"/>
      <c r="N50" s="4"/>
      <c r="O50" s="4"/>
      <c r="P50" s="69" t="s">
        <v>116</v>
      </c>
      <c r="Q50" s="197" t="e">
        <f>S45</f>
        <v>#DIV/0!</v>
      </c>
      <c r="R50" s="138" t="e">
        <f>SQRT(Q50)</f>
        <v>#DIV/0!</v>
      </c>
      <c r="S50" s="11"/>
      <c r="T50" s="11"/>
      <c r="U50" s="11"/>
    </row>
    <row r="51" spans="2:21" x14ac:dyDescent="0.45">
      <c r="H51" s="16"/>
      <c r="M51" s="4"/>
      <c r="N51" s="4"/>
      <c r="O51" s="4"/>
      <c r="P51" s="69" t="s">
        <v>142</v>
      </c>
      <c r="Q51" s="158" t="e">
        <f>Q49+Q50</f>
        <v>#DIV/0!</v>
      </c>
      <c r="R51" s="138" t="e">
        <f>SQRT(Q51)</f>
        <v>#DIV/0!</v>
      </c>
      <c r="S51" s="11"/>
      <c r="T51" s="11"/>
      <c r="U51" s="11"/>
    </row>
    <row r="52" spans="2:21" ht="14.65" x14ac:dyDescent="0.45">
      <c r="B52" s="14" t="s">
        <v>158</v>
      </c>
      <c r="C52" s="145" t="s">
        <v>123</v>
      </c>
      <c r="F52" s="16" t="s">
        <v>150</v>
      </c>
      <c r="H52" s="16"/>
      <c r="M52" s="4"/>
      <c r="N52" s="4"/>
      <c r="O52" s="4"/>
      <c r="P52" s="4"/>
      <c r="R52" s="11"/>
      <c r="S52" s="11"/>
      <c r="T52" s="11"/>
      <c r="U52" s="11"/>
    </row>
    <row r="53" spans="2:21" x14ac:dyDescent="0.45">
      <c r="H53" s="16"/>
      <c r="M53" s="4"/>
      <c r="N53" s="4"/>
      <c r="O53" s="4"/>
      <c r="P53" s="4"/>
      <c r="R53" s="11"/>
      <c r="S53" s="11"/>
      <c r="T53" s="11"/>
      <c r="U53" s="11"/>
    </row>
    <row r="54" spans="2:21" x14ac:dyDescent="0.45">
      <c r="M54" s="4"/>
      <c r="N54" s="4"/>
      <c r="O54" s="4"/>
      <c r="P54" s="4"/>
      <c r="S54" s="11"/>
      <c r="T54" s="11"/>
      <c r="U54" s="11"/>
    </row>
    <row r="55" spans="2:21" x14ac:dyDescent="0.45">
      <c r="M55" s="4"/>
      <c r="N55" s="4"/>
      <c r="O55" s="4"/>
      <c r="P55" s="4"/>
      <c r="R55" s="11"/>
      <c r="S55" s="11"/>
      <c r="T55" s="11"/>
      <c r="U55" s="11"/>
    </row>
    <row r="56" spans="2:21" x14ac:dyDescent="0.45">
      <c r="L56" s="11"/>
      <c r="P56" s="4"/>
      <c r="R56" s="11"/>
      <c r="S56" s="11"/>
      <c r="T56" s="11"/>
      <c r="U56" s="11"/>
    </row>
    <row r="57" spans="2:21" x14ac:dyDescent="0.45">
      <c r="L57" s="11"/>
      <c r="P57" s="4"/>
    </row>
    <row r="58" spans="2:21" x14ac:dyDescent="0.45">
      <c r="L58" s="11"/>
      <c r="P58" s="4"/>
    </row>
    <row r="59" spans="2:21" x14ac:dyDescent="0.45">
      <c r="L59" s="11"/>
      <c r="P59" s="4"/>
    </row>
    <row r="60" spans="2:21" x14ac:dyDescent="0.45">
      <c r="L60" s="11"/>
      <c r="P60" s="4"/>
    </row>
    <row r="61" spans="2:21" x14ac:dyDescent="0.45">
      <c r="L61" s="11"/>
      <c r="P61" s="4"/>
    </row>
    <row r="62" spans="2:21" x14ac:dyDescent="0.45">
      <c r="L62" s="11"/>
      <c r="P62" s="4"/>
    </row>
  </sheetData>
  <sheetProtection password="DD51" sheet="1" scenarios="1" formatCells="0" formatColumns="0" formatRows="0" sort="0"/>
  <mergeCells count="7">
    <mergeCell ref="T46:V46"/>
    <mergeCell ref="L31:M31"/>
    <mergeCell ref="C2:E2"/>
    <mergeCell ref="C3:E3"/>
    <mergeCell ref="R8:W8"/>
    <mergeCell ref="C8:G8"/>
    <mergeCell ref="H8:Q8"/>
  </mergeCells>
  <conditionalFormatting sqref="U10:W30">
    <cfRule type="cellIs" dxfId="4" priority="4" operator="equal">
      <formula>0</formula>
    </cfRule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V40 R39">
    <cfRule type="containsText" dxfId="1" priority="3" stopIfTrue="1" operator="containsText" text="not">
      <formula>NOT(ISERROR(SEARCH("not",R39)))</formula>
    </cfRule>
  </conditionalFormatting>
  <conditionalFormatting sqref="T44">
    <cfRule type="cellIs" dxfId="0" priority="1" operator="greaterThan">
      <formula>$V$44</formula>
    </cfRule>
  </conditionalFormatting>
  <dataValidations xWindow="621" yWindow="253" count="2">
    <dataValidation type="list" allowBlank="1" showInputMessage="1" showErrorMessage="1" sqref="G32:G33 J34 AC5:AC6 J32 Y4:Y7" xr:uid="{00000000-0002-0000-0000-000000000000}">
      <formula1>$AE$27:$AE$28</formula1>
    </dataValidation>
    <dataValidation type="list" allowBlank="1" showInputMessage="1" showErrorMessage="1" sqref="D10:D29" xr:uid="{00000000-0002-0000-0000-000001000000}">
      <formula1>$A$3:$A$5</formula1>
    </dataValidation>
  </dataValidations>
  <hyperlinks>
    <hyperlink ref="C52" r:id="rId1" xr:uid="{00000000-0004-0000-0000-000000000000}"/>
  </hyperlinks>
  <printOptions horizontalCentered="1" verticalCentered="1"/>
  <pageMargins left="0.47244094488188981" right="0.35433070866141736" top="0.74803149606299213" bottom="0.74803149606299213" header="0.31496062992125984" footer="0.31496062992125984"/>
  <pageSetup paperSize="9" scale="54" orientation="landscape" horizontalDpi="1200" verticalDpi="1200" r:id="rId2"/>
  <headerFooter>
    <oddFooter>&amp;R&amp;Z&amp;F  &amp;D</oddFooter>
  </headerFooter>
  <ignoredErrors>
    <ignoredError sqref="F10" unlocked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4"/>
  <sheetViews>
    <sheetView zoomScaleNormal="100" workbookViewId="0">
      <selection activeCell="A35" sqref="A35"/>
    </sheetView>
  </sheetViews>
  <sheetFormatPr defaultRowHeight="14.25" x14ac:dyDescent="0.45"/>
  <cols>
    <col min="1" max="1" width="9.3984375" customWidth="1"/>
    <col min="14" max="14" width="9.59765625" bestFit="1" customWidth="1"/>
    <col min="19" max="20" width="9.59765625" bestFit="1" customWidth="1"/>
  </cols>
  <sheetData>
    <row r="1" spans="2:26" x14ac:dyDescent="0.45">
      <c r="Y1" s="17" t="s">
        <v>23</v>
      </c>
      <c r="Z1" s="19"/>
    </row>
    <row r="2" spans="2:26" x14ac:dyDescent="0.45">
      <c r="B2" t="s">
        <v>9</v>
      </c>
      <c r="G2" s="17" t="e">
        <f>IF(ISBLANK(Input!F7),NA(),H3-H5)</f>
        <v>#DIV/0!</v>
      </c>
      <c r="H2" s="18" t="e">
        <f>IF(ISBLANK(Input!F7),NA(),H3-H5)</f>
        <v>#DIV/0!</v>
      </c>
      <c r="I2" s="18" t="e">
        <f>IF(ISBLANK(Input!F7),NA(),H3+H5)</f>
        <v>#DIV/0!</v>
      </c>
      <c r="J2" s="19" t="e">
        <f>IF(ISBLANK(Input!F7),NA(),H3+H5)</f>
        <v>#DIV/0!</v>
      </c>
      <c r="L2" s="17" t="s">
        <v>17</v>
      </c>
      <c r="M2" s="19"/>
      <c r="Y2" s="34" t="s">
        <v>1</v>
      </c>
      <c r="Z2" s="22">
        <v>1</v>
      </c>
    </row>
    <row r="3" spans="2:26" x14ac:dyDescent="0.45">
      <c r="B3" s="68" t="s">
        <v>63</v>
      </c>
      <c r="C3" t="e">
        <f>IF(Q32=0,"",(L32/Q32)^2)</f>
        <v>#DIV/0!</v>
      </c>
      <c r="G3" s="20"/>
      <c r="H3" s="21" t="e">
        <f>IF(ISBLANK(Input!F7),NA(),Input!R31)</f>
        <v>#DIV/0!</v>
      </c>
      <c r="I3" s="21" t="e">
        <f>IF(ISBLANK(Input!F7),NA(),Input!R31)</f>
        <v>#DIV/0!</v>
      </c>
      <c r="J3" s="22"/>
      <c r="L3" s="20">
        <f>MIN(Input!C10:C29)</f>
        <v>0</v>
      </c>
      <c r="M3" s="22">
        <f>L3</f>
        <v>0</v>
      </c>
      <c r="Y3" s="34" t="s">
        <v>0</v>
      </c>
      <c r="Z3" s="22">
        <v>0</v>
      </c>
    </row>
    <row r="4" spans="2:26" x14ac:dyDescent="0.45">
      <c r="B4" s="2" t="s">
        <v>64</v>
      </c>
      <c r="C4" t="e">
        <f>C7/(2*C11^2)-C3/(2*C7)</f>
        <v>#DIV/0!</v>
      </c>
      <c r="D4" s="90" t="s">
        <v>88</v>
      </c>
      <c r="G4" s="23"/>
      <c r="H4" s="24">
        <v>0</v>
      </c>
      <c r="I4" s="24">
        <v>1</v>
      </c>
      <c r="J4" s="24"/>
      <c r="L4" s="23">
        <f>MAX(Input!C10:C29)</f>
        <v>0</v>
      </c>
      <c r="M4" s="25">
        <f>L4</f>
        <v>0</v>
      </c>
      <c r="Y4" s="20">
        <v>-4</v>
      </c>
      <c r="Z4" s="22">
        <f t="shared" ref="Z4:Z35" si="0">2.5*1/($Z$2*SQRT(PI()*2))*EXP(-((Y4-$Z$3)^2)/(2*$Z$2^2))</f>
        <v>3.3457556441221346E-4</v>
      </c>
    </row>
    <row r="5" spans="2:26" x14ac:dyDescent="0.45">
      <c r="B5" s="2" t="s">
        <v>10</v>
      </c>
      <c r="C5" s="88" t="e">
        <f>C4+SQRT(C4^2+C3)</f>
        <v>#DIV/0!</v>
      </c>
      <c r="D5" t="e">
        <f>SQRT(C5^2*(1-C11^2)/(C11^2*(C10-2)))</f>
        <v>#DIV/0!</v>
      </c>
      <c r="H5" t="e">
        <f>Input!R33*Input!R34</f>
        <v>#DIV/0!</v>
      </c>
      <c r="L5" s="21"/>
      <c r="M5" s="21"/>
      <c r="Y5" s="20">
        <v>-3.9</v>
      </c>
      <c r="Z5" s="22">
        <f t="shared" si="0"/>
        <v>4.9663867848193186E-4</v>
      </c>
    </row>
    <row r="6" spans="2:26" x14ac:dyDescent="0.45">
      <c r="B6" s="2" t="s">
        <v>11</v>
      </c>
      <c r="C6" s="88" t="e">
        <f>H29-Calc!C5*G29</f>
        <v>#DIV/0!</v>
      </c>
      <c r="D6" t="e">
        <f>SQRT(D5^2*SUMSQ(G9:G28)/C10)</f>
        <v>#DIV/0!</v>
      </c>
      <c r="F6" s="33"/>
      <c r="G6" s="1"/>
      <c r="L6" s="21"/>
      <c r="M6" s="21"/>
      <c r="Y6" s="20">
        <v>-3.8</v>
      </c>
      <c r="Z6" s="22">
        <f t="shared" si="0"/>
        <v>7.2986731447865073E-4</v>
      </c>
    </row>
    <row r="7" spans="2:26" x14ac:dyDescent="0.45">
      <c r="B7" s="2" t="s">
        <v>16</v>
      </c>
      <c r="C7" s="89" t="e">
        <f>SLOPE(Input!S10:S29,Input!C10:C29)</f>
        <v>#DIV/0!</v>
      </c>
      <c r="D7" t="e">
        <f>C9/SQRT((C10-1)*VAR(G9:G28))</f>
        <v>#DIV/0!</v>
      </c>
      <c r="G7" s="258" t="s">
        <v>25</v>
      </c>
      <c r="H7" s="259"/>
      <c r="J7" s="79" t="s">
        <v>59</v>
      </c>
      <c r="K7" s="21"/>
      <c r="L7" s="21"/>
      <c r="M7" s="21"/>
      <c r="S7" s="257" t="s">
        <v>75</v>
      </c>
      <c r="T7" s="257"/>
      <c r="U7" s="257" t="s">
        <v>76</v>
      </c>
      <c r="V7" s="257"/>
      <c r="Y7" s="20">
        <v>-3.7</v>
      </c>
      <c r="Z7" s="22">
        <f t="shared" si="0"/>
        <v>1.0619506763768786E-3</v>
      </c>
    </row>
    <row r="8" spans="2:26" x14ac:dyDescent="0.45">
      <c r="B8" s="2" t="s">
        <v>22</v>
      </c>
      <c r="C8" s="89" t="e">
        <f>INTERCEPT(Input!S10:S29,Input!C10:C29)</f>
        <v>#DIV/0!</v>
      </c>
      <c r="D8" t="e">
        <f>C9*SQRT(SUMSQ(G9:G28)/(C10*(C10-1)*VAR(G9:G28)))</f>
        <v>#DIV/0!</v>
      </c>
      <c r="G8" s="66" t="s">
        <v>51</v>
      </c>
      <c r="H8" s="67" t="s">
        <v>52</v>
      </c>
      <c r="J8" s="80" t="s">
        <v>56</v>
      </c>
      <c r="K8" s="26" t="s">
        <v>48</v>
      </c>
      <c r="L8" t="s">
        <v>49</v>
      </c>
      <c r="N8" s="59" t="s">
        <v>55</v>
      </c>
      <c r="O8" s="26" t="s">
        <v>61</v>
      </c>
      <c r="P8" s="26" t="s">
        <v>48</v>
      </c>
      <c r="Q8" t="s">
        <v>49</v>
      </c>
      <c r="S8" s="90" t="s">
        <v>8</v>
      </c>
      <c r="T8" s="90" t="s">
        <v>7</v>
      </c>
      <c r="U8" s="90" t="s">
        <v>80</v>
      </c>
      <c r="V8" s="90" t="s">
        <v>81</v>
      </c>
      <c r="W8" s="99"/>
      <c r="Y8" s="20">
        <v>-3.6</v>
      </c>
      <c r="Z8" s="22">
        <f t="shared" si="0"/>
        <v>1.5297548252844299E-3</v>
      </c>
    </row>
    <row r="9" spans="2:26" x14ac:dyDescent="0.45">
      <c r="B9" s="2" t="s">
        <v>89</v>
      </c>
      <c r="C9" s="89" t="e">
        <f>STDEV(H9:H28)*SQRT((C10-1)*(1-C11^2)/(C10-2))</f>
        <v>#DIV/0!</v>
      </c>
      <c r="F9" s="2">
        <v>1</v>
      </c>
      <c r="G9" s="100" t="str">
        <f>IF(OR(ISBLANK(Input!C10),COUNT(Input!H10:Q10)&lt;2),"",Input!C10)</f>
        <v/>
      </c>
      <c r="H9" s="19" t="str">
        <f>IF(OR(ISBLANK(Input!C10),COUNT(Input!H10:Q10)&lt;2),"",Input!S10)</f>
        <v/>
      </c>
      <c r="J9" s="60" t="str">
        <f>IF(OR(ISBLANK(Input!C10),COUNT(Input!H10:Q10)&lt;2),"",Input!S10-Input!C10)</f>
        <v/>
      </c>
      <c r="K9" t="str">
        <f>IF(ISNUMBER(Input!R10),Input!R10-1,"")</f>
        <v/>
      </c>
      <c r="L9" s="81" t="str">
        <f>IF(AND(ISNUMBER(Input!C10),ISNUMBER(Input!R10)),Input!X10^2*K9,"")</f>
        <v/>
      </c>
      <c r="N9" s="131" t="str">
        <f>IF(OR(Input!R10=0,ISBLANK(Input!C10)),"",Input!X10)</f>
        <v/>
      </c>
      <c r="O9">
        <f>IF(OR(ISBLANK(Input!G10),ISBLANK(Input!C10),Input!R10=0),0,Input!G10)</f>
        <v>0</v>
      </c>
      <c r="P9">
        <f>IF(OR(ISBLANK(Input!G10),ISBLANK(Input!C10),Input!R10=0),0,Input!G10-1)</f>
        <v>0</v>
      </c>
      <c r="Q9" s="81" t="str">
        <f>IF(AND(ISNUMBER(Input!C10),ISNUMBER(Input!R10)),Input!X10^2*Calc!P9,"")</f>
        <v/>
      </c>
      <c r="R9" s="81"/>
      <c r="S9" s="91" t="str">
        <f>IF(AND(ISNUMBER(Input!$C10),ISNUMBER(Input!$S10)),G9*$C$5+$C$6,"")</f>
        <v/>
      </c>
      <c r="T9" s="92" t="str">
        <f>IF(AND(ISNUMBER(Input!$C10),ISNUMBER(Input!$S10)),G9*$C$7+$C$8,"")</f>
        <v/>
      </c>
      <c r="U9" s="91" t="b">
        <f>IF(AND(ISNUMBER(Input!$C10),ISNUMBER(Input!$S10)),IF(Input!$G$33="N",NA(),H9-$S9))</f>
        <v>0</v>
      </c>
      <c r="V9" s="93" t="b">
        <f>IF(AND(ISNUMBER(Input!$C10),ISNUMBER(Input!$S10)),IF(Input!$G$32="N",NA(),H9-$T9))</f>
        <v>0</v>
      </c>
      <c r="W9" s="95"/>
      <c r="X9" s="95"/>
      <c r="Y9" s="20">
        <v>-3.5</v>
      </c>
      <c r="Z9" s="22">
        <f t="shared" si="0"/>
        <v>2.1817067376144004E-3</v>
      </c>
    </row>
    <row r="10" spans="2:26" x14ac:dyDescent="0.45">
      <c r="B10" s="2" t="s">
        <v>90</v>
      </c>
      <c r="C10" s="89">
        <f>COUNT(G9:G28)</f>
        <v>0</v>
      </c>
      <c r="F10" s="2">
        <v>2</v>
      </c>
      <c r="G10" s="101" t="str">
        <f>IF(OR(ISBLANK(Input!C11),COUNT(Input!H11:Q11)&lt;2),"",Input!C11)</f>
        <v/>
      </c>
      <c r="H10" s="22" t="str">
        <f>IF(OR(ISBLANK(Input!C11),COUNT(Input!H11:Q11)&lt;2),"",Input!S11)</f>
        <v/>
      </c>
      <c r="J10" s="60" t="str">
        <f>IF(OR(ISBLANK(Input!C11),COUNT(Input!H11:Q11)&lt;2),"",Input!S11-Input!C11)</f>
        <v/>
      </c>
      <c r="K10" t="str">
        <f>IF(ISNUMBER(Input!R11),Input!R11-1,"")</f>
        <v/>
      </c>
      <c r="L10" s="81" t="str">
        <f>IF(AND(ISNUMBER(Input!C11),ISNUMBER(Input!R11)),Input!X11^2*K10,"")</f>
        <v/>
      </c>
      <c r="N10" s="131" t="str">
        <f>IF(OR(Input!R11=0,ISBLANK(Input!C11)),"",Input!X11)</f>
        <v/>
      </c>
      <c r="O10">
        <f>IF(OR(ISBLANK(Input!G11),ISBLANK(Input!C11),Input!R11=0),0,Input!G11)</f>
        <v>0</v>
      </c>
      <c r="P10">
        <f>IF(OR(ISBLANK(Input!G11),ISBLANK(Input!C11),Input!R11=0),0,Input!G11-1)</f>
        <v>0</v>
      </c>
      <c r="Q10" s="81" t="str">
        <f>IF(AND(ISNUMBER(Input!C11),ISNUMBER(Input!R11)),Input!X11^2*Calc!P10,"")</f>
        <v/>
      </c>
      <c r="R10" s="81"/>
      <c r="S10" s="94" t="str">
        <f>IF(AND(ISNUMBER(Input!$C11),ISNUMBER(Input!$S11)),G10*$C$5+$C$6,"")</f>
        <v/>
      </c>
      <c r="T10" s="95" t="str">
        <f>IF(AND(ISNUMBER(Input!$C11),ISNUMBER(Input!$S11)),G10*$C$7+$C$8,"")</f>
        <v/>
      </c>
      <c r="U10" s="94" t="b">
        <f>IF(AND(ISNUMBER(Input!$C11),ISNUMBER(Input!$S11)),IF(Input!$G$33="N",NA(),H10-$S10))</f>
        <v>0</v>
      </c>
      <c r="V10" s="96" t="b">
        <f>IF(AND(ISNUMBER(Input!$C11),ISNUMBER(Input!$S11)),IF(Input!$G$32="N",NA(),H10-$T10))</f>
        <v>0</v>
      </c>
      <c r="W10" s="95"/>
      <c r="X10" s="95"/>
      <c r="Y10" s="20">
        <v>-3.4</v>
      </c>
      <c r="Z10" s="22">
        <f t="shared" si="0"/>
        <v>3.0805479211825498E-3</v>
      </c>
    </row>
    <row r="11" spans="2:26" x14ac:dyDescent="0.45">
      <c r="B11" s="2" t="s">
        <v>91</v>
      </c>
      <c r="C11" t="e">
        <f>CORREL(G9:G28,H9:H28)</f>
        <v>#DIV/0!</v>
      </c>
      <c r="F11" s="2">
        <v>3</v>
      </c>
      <c r="G11" s="101" t="str">
        <f>IF(OR(ISBLANK(Input!C12),COUNT(Input!H12:Q12)&lt;2),"",Input!C12)</f>
        <v/>
      </c>
      <c r="H11" s="22" t="str">
        <f>IF(OR(ISBLANK(Input!C12),COUNT(Input!H12:Q12)&lt;2),"",Input!S12)</f>
        <v/>
      </c>
      <c r="J11" s="60" t="str">
        <f>IF(OR(ISBLANK(Input!C12),COUNT(Input!H12:Q12)&lt;2),"",Input!S12-Input!C12)</f>
        <v/>
      </c>
      <c r="K11" t="str">
        <f>IF(ISNUMBER(Input!R12),Input!R12-1,"")</f>
        <v/>
      </c>
      <c r="L11" s="81" t="str">
        <f>IF(AND(ISNUMBER(Input!C12),ISNUMBER(Input!R12)),Input!X12^2*K11,"")</f>
        <v/>
      </c>
      <c r="N11" s="131" t="str">
        <f>IF(OR(Input!R12=0,ISBLANK(Input!C12)),"",Input!X12)</f>
        <v/>
      </c>
      <c r="O11">
        <f>IF(OR(ISBLANK(Input!G12),ISBLANK(Input!C12),Input!R12=0),0,Input!G12)</f>
        <v>0</v>
      </c>
      <c r="P11">
        <f>IF(OR(ISBLANK(Input!G12),ISBLANK(Input!C12),Input!R12=0),0,Input!G12-1)</f>
        <v>0</v>
      </c>
      <c r="Q11" s="81" t="str">
        <f>IF(AND(ISNUMBER(Input!C12),ISNUMBER(Input!R12)),Input!X12^2*Calc!P11,"")</f>
        <v/>
      </c>
      <c r="R11" s="81"/>
      <c r="S11" s="94" t="str">
        <f>IF(AND(ISNUMBER(Input!$C12),ISNUMBER(Input!$S12)),G11*$C$5+$C$6,"")</f>
        <v/>
      </c>
      <c r="T11" s="95" t="str">
        <f>IF(AND(ISNUMBER(Input!$C12),ISNUMBER(Input!$S12)),G11*$C$7+$C$8,"")</f>
        <v/>
      </c>
      <c r="U11" s="94" t="b">
        <f>IF(AND(ISNUMBER(Input!$C12),ISNUMBER(Input!$S12)),IF(Input!$G$33="N",NA(),H11-$S11))</f>
        <v>0</v>
      </c>
      <c r="V11" s="96" t="b">
        <f>IF(AND(ISNUMBER(Input!$C12),ISNUMBER(Input!$S12)),IF(Input!$G$32="N",NA(),H11-$T11))</f>
        <v>0</v>
      </c>
      <c r="W11" s="95"/>
      <c r="X11" s="95"/>
      <c r="Y11" s="20">
        <v>-3.3</v>
      </c>
      <c r="Z11" s="22">
        <f t="shared" si="0"/>
        <v>4.3064223476342034E-3</v>
      </c>
    </row>
    <row r="12" spans="2:26" x14ac:dyDescent="0.45">
      <c r="B12" s="2"/>
      <c r="F12" s="2">
        <v>4</v>
      </c>
      <c r="G12" s="101" t="str">
        <f>IF(OR(ISBLANK(Input!C13),COUNT(Input!H13:Q13)&lt;2),"",Input!C13)</f>
        <v/>
      </c>
      <c r="H12" s="22" t="str">
        <f>IF(OR(ISBLANK(Input!C13),COUNT(Input!H13:Q13)&lt;2),"",Input!S13)</f>
        <v/>
      </c>
      <c r="J12" s="60" t="str">
        <f>IF(OR(ISBLANK(Input!C13),COUNT(Input!H13:Q13)&lt;2),"",Input!S13-Input!C13)</f>
        <v/>
      </c>
      <c r="K12" t="str">
        <f>IF(ISNUMBER(Input!R13),Input!R13-1,"")</f>
        <v/>
      </c>
      <c r="L12" s="81" t="str">
        <f>IF(AND(ISNUMBER(Input!C13),ISNUMBER(Input!R13)),Input!X13^2*K12,"")</f>
        <v/>
      </c>
      <c r="N12" s="131" t="str">
        <f>IF(OR(Input!R13=0,ISBLANK(Input!C13)),"",Input!X13)</f>
        <v/>
      </c>
      <c r="O12">
        <f>IF(OR(ISBLANK(Input!G13),ISBLANK(Input!C13),Input!R13=0),0,Input!G13)</f>
        <v>0</v>
      </c>
      <c r="P12">
        <f>IF(OR(ISBLANK(Input!G13),ISBLANK(Input!C13),Input!R13=0),0,Input!G13-1)</f>
        <v>0</v>
      </c>
      <c r="Q12" s="81" t="str">
        <f>IF(AND(ISNUMBER(Input!C13),ISNUMBER(Input!R13)),Input!X13^2*Calc!P12,"")</f>
        <v/>
      </c>
      <c r="R12" s="81"/>
      <c r="S12" s="94" t="str">
        <f>IF(AND(ISNUMBER(Input!$C13),ISNUMBER(Input!$S13)),G12*$C$5+$C$6,"")</f>
        <v/>
      </c>
      <c r="T12" s="95" t="str">
        <f>IF(AND(ISNUMBER(Input!$C13),ISNUMBER(Input!$S13)),G12*$C$7+$C$8,"")</f>
        <v/>
      </c>
      <c r="U12" s="94" t="b">
        <f>IF(AND(ISNUMBER(Input!$C13),ISNUMBER(Input!$S13)),IF(Input!$G$33="N",NA(),H12-$S12))</f>
        <v>0</v>
      </c>
      <c r="V12" s="96" t="b">
        <f>IF(AND(ISNUMBER(Input!$C13),ISNUMBER(Input!$S13)),IF(Input!$G$32="N",NA(),H12-$T12))</f>
        <v>0</v>
      </c>
      <c r="W12" s="95"/>
      <c r="X12" s="95"/>
      <c r="Y12" s="20">
        <v>-3.2</v>
      </c>
      <c r="Z12" s="22">
        <f t="shared" si="0"/>
        <v>5.9602205036621012E-3</v>
      </c>
    </row>
    <row r="13" spans="2:26" x14ac:dyDescent="0.45">
      <c r="C13" s="26" t="s">
        <v>12</v>
      </c>
      <c r="D13" s="26" t="s">
        <v>13</v>
      </c>
      <c r="F13" s="2">
        <v>5</v>
      </c>
      <c r="G13" s="101" t="str">
        <f>IF(OR(ISBLANK(Input!C14),COUNT(Input!H14:Q14)&lt;2),"",Input!C14)</f>
        <v/>
      </c>
      <c r="H13" s="22" t="str">
        <f>IF(OR(ISBLANK(Input!C14),COUNT(Input!H14:Q14)&lt;2),"",Input!S14)</f>
        <v/>
      </c>
      <c r="J13" s="60" t="str">
        <f>IF(OR(ISBLANK(Input!C14),COUNT(Input!H14:Q14)&lt;2),"",Input!S14-Input!C14)</f>
        <v/>
      </c>
      <c r="K13" t="str">
        <f>IF(ISNUMBER(Input!R14),Input!R14-1,"")</f>
        <v/>
      </c>
      <c r="L13" s="81" t="str">
        <f>IF(AND(ISNUMBER(Input!C14),ISNUMBER(Input!R14)),Input!X14^2*K13,"")</f>
        <v/>
      </c>
      <c r="N13" s="131" t="str">
        <f>IF(OR(Input!R14=0,ISBLANK(Input!C14)),"",Input!X14)</f>
        <v/>
      </c>
      <c r="O13">
        <f>IF(OR(ISBLANK(Input!G14),ISBLANK(Input!C14),Input!R14=0),0,Input!G14)</f>
        <v>0</v>
      </c>
      <c r="P13">
        <f>IF(OR(ISBLANK(Input!G14),ISBLANK(Input!C14),Input!R14=0),0,Input!G14-1)</f>
        <v>0</v>
      </c>
      <c r="Q13" s="81" t="str">
        <f>IF(AND(ISNUMBER(Input!C14),ISNUMBER(Input!R14)),Input!X14^2*Calc!P13,"")</f>
        <v/>
      </c>
      <c r="R13" s="81"/>
      <c r="S13" s="94" t="str">
        <f>IF(AND(ISNUMBER(Input!$C14),ISNUMBER(Input!$S14)),G13*$C$5+$C$6,"")</f>
        <v/>
      </c>
      <c r="T13" s="95" t="str">
        <f>IF(AND(ISNUMBER(Input!$C14),ISNUMBER(Input!$S14)),G13*$C$7+$C$8,"")</f>
        <v/>
      </c>
      <c r="U13" s="94" t="b">
        <f>IF(AND(ISNUMBER(Input!$C14),ISNUMBER(Input!$S14)),IF(Input!$G$33="N",NA(),H13-$S13))</f>
        <v>0</v>
      </c>
      <c r="V13" s="96" t="b">
        <f>IF(AND(ISNUMBER(Input!$C14),ISNUMBER(Input!$S14)),IF(Input!$G$32="N",NA(),H13-$T13))</f>
        <v>0</v>
      </c>
      <c r="W13" s="95"/>
      <c r="X13" s="95"/>
      <c r="Y13" s="20">
        <v>-3.1</v>
      </c>
      <c r="Z13" s="22">
        <f t="shared" si="0"/>
        <v>8.1670476404997975E-3</v>
      </c>
    </row>
    <row r="14" spans="2:26" x14ac:dyDescent="0.45">
      <c r="C14">
        <f>MIN(Input!C10:C29)</f>
        <v>0</v>
      </c>
      <c r="D14">
        <f>MIN(Input!S10:S29)</f>
        <v>0</v>
      </c>
      <c r="F14" s="2">
        <v>6</v>
      </c>
      <c r="G14" s="101" t="str">
        <f>IF(OR(ISBLANK(Input!C15),COUNT(Input!H15:Q15)&lt;2),"",Input!C15)</f>
        <v/>
      </c>
      <c r="H14" s="22" t="str">
        <f>IF(OR(ISBLANK(Input!C15),COUNT(Input!H15:Q15)&lt;2),"",Input!S15)</f>
        <v/>
      </c>
      <c r="J14" s="60" t="str">
        <f>IF(OR(ISBLANK(Input!C15),COUNT(Input!H15:Q15)&lt;2),"",Input!S15-Input!C15)</f>
        <v/>
      </c>
      <c r="K14" t="str">
        <f>IF(ISNUMBER(Input!R15),Input!R15-1,"")</f>
        <v/>
      </c>
      <c r="L14" s="81" t="str">
        <f>IF(AND(ISNUMBER(Input!C15),ISNUMBER(Input!R15)),Input!X15^2*K14,"")</f>
        <v/>
      </c>
      <c r="N14" s="131" t="str">
        <f>IF(OR(Input!R15=0,ISBLANK(Input!C15)),"",Input!X15)</f>
        <v/>
      </c>
      <c r="O14">
        <f>IF(OR(ISBLANK(Input!G15),ISBLANK(Input!C15),Input!R15=0),0,Input!G15)</f>
        <v>0</v>
      </c>
      <c r="P14">
        <f>IF(OR(ISBLANK(Input!G15),ISBLANK(Input!C15),Input!R15=0),0,Input!G15-1)</f>
        <v>0</v>
      </c>
      <c r="Q14" s="81" t="str">
        <f>IF(AND(ISNUMBER(Input!C15),ISNUMBER(Input!R15)),Input!X15^2*Calc!P14,"")</f>
        <v/>
      </c>
      <c r="R14" s="81"/>
      <c r="S14" s="94" t="str">
        <f>IF(AND(ISNUMBER(Input!$C15),ISNUMBER(Input!$S15)),G14*$C$5+$C$6,"")</f>
        <v/>
      </c>
      <c r="T14" s="95" t="str">
        <f>IF(AND(ISNUMBER(Input!$C15),ISNUMBER(Input!$S15)),G14*$C$7+$C$8,"")</f>
        <v/>
      </c>
      <c r="U14" s="94" t="b">
        <f>IF(AND(ISNUMBER(Input!$C15),ISNUMBER(Input!$S15)),IF(Input!$G$33="N",NA(),H14-$S14))</f>
        <v>0</v>
      </c>
      <c r="V14" s="96" t="b">
        <f>IF(AND(ISNUMBER(Input!$C15),ISNUMBER(Input!$S15)),IF(Input!$G$32="N",NA(),H14-$T14))</f>
        <v>0</v>
      </c>
      <c r="W14" s="95"/>
      <c r="X14" s="95"/>
      <c r="Y14" s="20">
        <v>-3</v>
      </c>
      <c r="Z14" s="22">
        <f t="shared" si="0"/>
        <v>1.1079621029845018E-2</v>
      </c>
    </row>
    <row r="15" spans="2:26" x14ac:dyDescent="0.45">
      <c r="C15">
        <f>MAX(Input!C10:C29)</f>
        <v>0</v>
      </c>
      <c r="D15">
        <f>MAX(Input!S10:S29)</f>
        <v>0</v>
      </c>
      <c r="F15" s="2">
        <v>7</v>
      </c>
      <c r="G15" s="101" t="str">
        <f>IF(OR(ISBLANK(Input!C16),COUNT(Input!H16:Q16)&lt;2),"",Input!C16)</f>
        <v/>
      </c>
      <c r="H15" s="22" t="str">
        <f>IF(OR(ISBLANK(Input!C16),COUNT(Input!H16:Q16)&lt;2),"",Input!S16)</f>
        <v/>
      </c>
      <c r="J15" s="60" t="str">
        <f>IF(OR(ISBLANK(Input!C16),COUNT(Input!H16:Q16)&lt;2),"",Input!S16-Input!C16)</f>
        <v/>
      </c>
      <c r="K15" t="str">
        <f>IF(ISNUMBER(Input!R16),Input!R16-1,"")</f>
        <v/>
      </c>
      <c r="L15" s="81" t="str">
        <f>IF(AND(ISNUMBER(Input!C16),ISNUMBER(Input!R16)),Input!X16^2*K15,"")</f>
        <v/>
      </c>
      <c r="N15" s="131" t="str">
        <f>IF(OR(Input!R16=0,ISBLANK(Input!C16)),"",Input!X16)</f>
        <v/>
      </c>
      <c r="O15">
        <f>IF(OR(ISBLANK(Input!G16),ISBLANK(Input!C16),Input!R16=0),0,Input!G16)</f>
        <v>0</v>
      </c>
      <c r="P15">
        <f>IF(OR(ISBLANK(Input!G16),ISBLANK(Input!C16),Input!R16=0),0,Input!G16-1)</f>
        <v>0</v>
      </c>
      <c r="Q15" s="81" t="str">
        <f>IF(AND(ISNUMBER(Input!C16),ISNUMBER(Input!R16)),Input!X16^2*Calc!P15,"")</f>
        <v/>
      </c>
      <c r="R15" s="81"/>
      <c r="S15" s="94" t="str">
        <f>IF(AND(ISNUMBER(Input!$C16),ISNUMBER(Input!$S16)),G15*$C$5+$C$6,"")</f>
        <v/>
      </c>
      <c r="T15" s="95" t="str">
        <f>IF(AND(ISNUMBER(Input!$C16),ISNUMBER(Input!$S16)),G15*$C$7+$C$8,"")</f>
        <v/>
      </c>
      <c r="U15" s="94" t="b">
        <f>IF(AND(ISNUMBER(Input!$C16),ISNUMBER(Input!$S16)),IF(Input!$G$33="N",NA(),H15-$S15))</f>
        <v>0</v>
      </c>
      <c r="V15" s="96" t="b">
        <f>IF(AND(ISNUMBER(Input!$C16),ISNUMBER(Input!$S16)),IF(Input!$G$32="N",NA(),H15-$T15))</f>
        <v>0</v>
      </c>
      <c r="W15" s="95"/>
      <c r="X15" s="95"/>
      <c r="Y15" s="20">
        <v>-2.9</v>
      </c>
      <c r="Z15" s="22">
        <f t="shared" si="0"/>
        <v>1.4881331049439636E-2</v>
      </c>
    </row>
    <row r="16" spans="2:26" x14ac:dyDescent="0.45">
      <c r="F16" s="2">
        <v>8</v>
      </c>
      <c r="G16" s="101" t="str">
        <f>IF(OR(ISBLANK(Input!C17),COUNT(Input!H17:Q17)&lt;2),"",Input!C17)</f>
        <v/>
      </c>
      <c r="H16" s="22" t="str">
        <f>IF(OR(ISBLANK(Input!C17),COUNT(Input!H17:Q17)&lt;2),"",Input!S17)</f>
        <v/>
      </c>
      <c r="J16" s="60" t="str">
        <f>IF(OR(ISBLANK(Input!C17),COUNT(Input!H17:Q17)&lt;2),"",Input!S17-Input!C17)</f>
        <v/>
      </c>
      <c r="K16" t="str">
        <f>IF(ISNUMBER(Input!R17),Input!R17-1,"")</f>
        <v/>
      </c>
      <c r="L16" s="81" t="str">
        <f>IF(AND(ISNUMBER(Input!C17),ISNUMBER(Input!R17)),Input!X17^2*K16,"")</f>
        <v/>
      </c>
      <c r="N16" s="131" t="str">
        <f>IF(OR(Input!R17=0,ISBLANK(Input!C17)),"",Input!X17)</f>
        <v/>
      </c>
      <c r="O16">
        <f>IF(OR(ISBLANK(Input!G17),ISBLANK(Input!C17),Input!R17=0),0,Input!G17)</f>
        <v>0</v>
      </c>
      <c r="P16">
        <f>IF(OR(ISBLANK(Input!G17),ISBLANK(Input!C17),Input!R17=0),0,Input!G17-1)</f>
        <v>0</v>
      </c>
      <c r="Q16" s="81" t="str">
        <f>IF(AND(ISNUMBER(Input!C17),ISNUMBER(Input!R17)),Input!X17^2*Calc!P16,"")</f>
        <v/>
      </c>
      <c r="R16" s="81"/>
      <c r="S16" s="94" t="str">
        <f>IF(AND(ISNUMBER(Input!$C17),ISNUMBER(Input!$S17)),G16*$C$5+$C$6,"")</f>
        <v/>
      </c>
      <c r="T16" s="95" t="str">
        <f>IF(AND(ISNUMBER(Input!$C17),ISNUMBER(Input!$S17)),G16*$C$7+$C$8,"")</f>
        <v/>
      </c>
      <c r="U16" s="94" t="b">
        <f>IF(AND(ISNUMBER(Input!$C17),ISNUMBER(Input!$S17)),IF(Input!$G$33="N",NA(),H16-$S16))</f>
        <v>0</v>
      </c>
      <c r="V16" s="96" t="b">
        <f>IF(AND(ISNUMBER(Input!$C17),ISNUMBER(Input!$S17)),IF(Input!$G$32="N",NA(),H16-$T16))</f>
        <v>0</v>
      </c>
      <c r="W16" s="95"/>
      <c r="X16" s="95"/>
      <c r="Y16" s="20">
        <v>-2.8</v>
      </c>
      <c r="Z16" s="22">
        <f t="shared" si="0"/>
        <v>1.9788628957449921E-2</v>
      </c>
    </row>
    <row r="17" spans="1:26" x14ac:dyDescent="0.45">
      <c r="B17" t="s">
        <v>8</v>
      </c>
      <c r="F17" s="2">
        <v>9</v>
      </c>
      <c r="G17" s="101" t="str">
        <f>IF(OR(ISBLANK(Input!C18),COUNT(Input!H18:Q18)&lt;2),"",Input!C18)</f>
        <v/>
      </c>
      <c r="H17" s="22" t="str">
        <f>IF(OR(ISBLANK(Input!C18),COUNT(Input!H18:Q18)&lt;2),"",Input!S18)</f>
        <v/>
      </c>
      <c r="J17" s="60" t="str">
        <f>IF(OR(ISBLANK(Input!C18),COUNT(Input!H18:Q18)&lt;2),"",Input!S18-Input!C18)</f>
        <v/>
      </c>
      <c r="K17" t="str">
        <f>IF(ISNUMBER(Input!R18),Input!R18-1,"")</f>
        <v/>
      </c>
      <c r="L17" s="81" t="str">
        <f>IF(AND(ISNUMBER(Input!C18),ISNUMBER(Input!R18)),Input!X18^2*K17,"")</f>
        <v/>
      </c>
      <c r="N17" s="131" t="str">
        <f>IF(OR(Input!R18=0,ISBLANK(Input!C18)),"",Input!X18)</f>
        <v/>
      </c>
      <c r="O17">
        <f>IF(OR(ISBLANK(Input!G18),ISBLANK(Input!C18),Input!R18=0),0,Input!G18)</f>
        <v>0</v>
      </c>
      <c r="P17">
        <f>IF(OR(ISBLANK(Input!G18),ISBLANK(Input!C18),Input!R18=0),0,Input!G18-1)</f>
        <v>0</v>
      </c>
      <c r="Q17" s="81" t="str">
        <f>IF(AND(ISNUMBER(Input!C18),ISNUMBER(Input!R18)),Input!X18^2*Calc!P17,"")</f>
        <v/>
      </c>
      <c r="R17" s="81"/>
      <c r="S17" s="94" t="str">
        <f>IF(AND(ISNUMBER(Input!$C18),ISNUMBER(Input!$S18)),G17*$C$5+$C$6,"")</f>
        <v/>
      </c>
      <c r="T17" s="95" t="str">
        <f>IF(AND(ISNUMBER(Input!$C18),ISNUMBER(Input!$S18)),G17*$C$7+$C$8,"")</f>
        <v/>
      </c>
      <c r="U17" s="94" t="b">
        <f>IF(AND(ISNUMBER(Input!$C18),ISNUMBER(Input!$S18)),IF(Input!$G$33="N",NA(),H17-$S17))</f>
        <v>0</v>
      </c>
      <c r="V17" s="96" t="b">
        <f>IF(AND(ISNUMBER(Input!$C18),ISNUMBER(Input!$S18)),IF(Input!$G$32="N",NA(),H17-$T17))</f>
        <v>0</v>
      </c>
      <c r="W17" s="95"/>
      <c r="X17" s="95"/>
      <c r="Y17" s="20">
        <v>-2.7</v>
      </c>
      <c r="Z17" s="22">
        <f t="shared" si="0"/>
        <v>2.6052337036056479E-2</v>
      </c>
    </row>
    <row r="18" spans="1:26" x14ac:dyDescent="0.45">
      <c r="C18">
        <f>$C$14</f>
        <v>0</v>
      </c>
      <c r="D18" t="e">
        <f>IF(Input!G33="N",NA(),IF(Input!G33="Y",C18*$C$5+$C$6))</f>
        <v>#N/A</v>
      </c>
      <c r="F18" s="2">
        <v>10</v>
      </c>
      <c r="G18" s="101" t="str">
        <f>IF(OR(ISBLANK(Input!C19),COUNT(Input!H19:Q19)&lt;2),"",Input!C19)</f>
        <v/>
      </c>
      <c r="H18" s="22" t="str">
        <f>IF(OR(ISBLANK(Input!C19),COUNT(Input!H19:Q19)&lt;2),"",Input!S19)</f>
        <v/>
      </c>
      <c r="J18" s="60" t="str">
        <f>IF(OR(ISBLANK(Input!C19),COUNT(Input!H19:Q19)&lt;2),"",Input!S19-Input!C19)</f>
        <v/>
      </c>
      <c r="K18" t="str">
        <f>IF(ISNUMBER(Input!R19),Input!R19-1,"")</f>
        <v/>
      </c>
      <c r="L18" s="81" t="str">
        <f>IF(AND(ISNUMBER(Input!C19),ISNUMBER(Input!R19)),Input!X19^2*K18,"")</f>
        <v/>
      </c>
      <c r="N18" s="131" t="str">
        <f>IF(OR(Input!R19=0,ISBLANK(Input!C19)),"",Input!X19)</f>
        <v/>
      </c>
      <c r="O18">
        <f>IF(OR(ISBLANK(Input!G19),ISBLANK(Input!C19),Input!R19=0),0,Input!G19)</f>
        <v>0</v>
      </c>
      <c r="P18">
        <f>IF(OR(ISBLANK(Input!G19),ISBLANK(Input!C19),Input!R19=0),0,Input!G19-1)</f>
        <v>0</v>
      </c>
      <c r="Q18" s="81" t="str">
        <f>IF(AND(ISNUMBER(Input!C19),ISNUMBER(Input!R19)),Input!X19^2*Calc!P18,"")</f>
        <v/>
      </c>
      <c r="R18" s="81"/>
      <c r="S18" s="94" t="str">
        <f>IF(AND(ISNUMBER(Input!$C19),ISNUMBER(Input!$S19)),G18*$C$5+$C$6,"")</f>
        <v/>
      </c>
      <c r="T18" s="95" t="str">
        <f>IF(AND(ISNUMBER(Input!$C19),ISNUMBER(Input!$S19)),G18*$C$7+$C$8,"")</f>
        <v/>
      </c>
      <c r="U18" s="94" t="b">
        <f>IF(AND(ISNUMBER(Input!$C19),ISNUMBER(Input!$S19)),IF(Input!$G$33="N",NA(),H18-$S18))</f>
        <v>0</v>
      </c>
      <c r="V18" s="96" t="b">
        <f>IF(AND(ISNUMBER(Input!$C19),ISNUMBER(Input!$S19)),IF(Input!$G$32="N",NA(),H18-$T18))</f>
        <v>0</v>
      </c>
      <c r="W18" s="95"/>
      <c r="X18" s="95"/>
      <c r="Y18" s="20">
        <v>-2.6</v>
      </c>
      <c r="Z18" s="22">
        <f t="shared" si="0"/>
        <v>3.3957423084214039E-2</v>
      </c>
    </row>
    <row r="19" spans="1:26" x14ac:dyDescent="0.45">
      <c r="C19">
        <f>$C$15</f>
        <v>0</v>
      </c>
      <c r="D19" t="e">
        <f>IF(Input!G33="N",NA(),IF(Input!G33="Y",C19*$C$5+$C$6))</f>
        <v>#N/A</v>
      </c>
      <c r="F19" s="2">
        <v>11</v>
      </c>
      <c r="G19" s="101" t="str">
        <f>IF(OR(ISBLANK(Input!C20),COUNT(Input!H20:Q20)&lt;2),"",Input!C20)</f>
        <v/>
      </c>
      <c r="H19" s="22" t="str">
        <f>IF(OR(ISBLANK(Input!C20),COUNT(Input!H20:Q20)&lt;2),"",Input!S20)</f>
        <v/>
      </c>
      <c r="J19" s="60" t="str">
        <f>IF(OR(ISBLANK(Input!C20),COUNT(Input!H20:Q20)&lt;2),"",Input!S20-Input!C20)</f>
        <v/>
      </c>
      <c r="K19" t="str">
        <f>IF(ISNUMBER(Input!R20),Input!R20-1,"")</f>
        <v/>
      </c>
      <c r="L19" s="81" t="str">
        <f>IF(AND(ISNUMBER(Input!C20),ISNUMBER(Input!R20)),Input!X20^2*K19,"")</f>
        <v/>
      </c>
      <c r="N19" s="131" t="str">
        <f>IF(OR(Input!R20=0,ISBLANK(Input!C20)),"",Input!X20)</f>
        <v/>
      </c>
      <c r="O19">
        <f>IF(OR(ISBLANK(Input!G20),ISBLANK(Input!C20),Input!R20=0),0,Input!G20)</f>
        <v>0</v>
      </c>
      <c r="P19">
        <f>IF(OR(ISBLANK(Input!G20),ISBLANK(Input!C20),Input!R20=0),0,Input!G20-1)</f>
        <v>0</v>
      </c>
      <c r="Q19" s="81" t="str">
        <f>IF(AND(ISNUMBER(Input!C20),ISNUMBER(Input!R20)),Input!X20^2*Calc!P19,"")</f>
        <v/>
      </c>
      <c r="R19" s="81"/>
      <c r="S19" s="94" t="str">
        <f>IF(AND(ISNUMBER(Input!$C20),ISNUMBER(Input!$S20)),G19*$C$5+$C$6,"")</f>
        <v/>
      </c>
      <c r="T19" s="95" t="str">
        <f>IF(AND(ISNUMBER(Input!$C20),ISNUMBER(Input!$S20)),G19*$C$7+$C$8,"")</f>
        <v/>
      </c>
      <c r="U19" s="94" t="b">
        <f>IF(AND(ISNUMBER(Input!$C20),ISNUMBER(Input!$S20)),IF(Input!$G$33="N",NA(),H19-$S19))</f>
        <v>0</v>
      </c>
      <c r="V19" s="96" t="b">
        <f>IF(AND(ISNUMBER(Input!$C20),ISNUMBER(Input!$S20)),IF(Input!$G$32="N",NA(),H19-$T19))</f>
        <v>0</v>
      </c>
      <c r="W19" s="95"/>
      <c r="X19" s="95"/>
      <c r="Y19" s="20">
        <v>-2.5</v>
      </c>
      <c r="Z19" s="22">
        <f t="shared" si="0"/>
        <v>4.3820751233921353E-2</v>
      </c>
    </row>
    <row r="20" spans="1:26" x14ac:dyDescent="0.45">
      <c r="B20" t="s">
        <v>7</v>
      </c>
      <c r="F20" s="2">
        <v>12</v>
      </c>
      <c r="G20" s="101" t="str">
        <f>IF(OR(ISBLANK(Input!C21),COUNT(Input!H21:Q21)&lt;2),"",Input!C21)</f>
        <v/>
      </c>
      <c r="H20" s="22" t="str">
        <f>IF(OR(ISBLANK(Input!C21),COUNT(Input!H21:Q21)&lt;2),"",Input!S21)</f>
        <v/>
      </c>
      <c r="J20" s="60" t="str">
        <f>IF(OR(ISBLANK(Input!C21),COUNT(Input!H21:Q21)&lt;2),"",Input!S21-Input!C21)</f>
        <v/>
      </c>
      <c r="K20" t="str">
        <f>IF(ISNUMBER(Input!R21),Input!R21-1,"")</f>
        <v/>
      </c>
      <c r="L20" s="81" t="str">
        <f>IF(AND(ISNUMBER(Input!C21),ISNUMBER(Input!R21)),Input!X21^2*K20,"")</f>
        <v/>
      </c>
      <c r="N20" s="131" t="str">
        <f>IF(OR(Input!R21=0,ISBLANK(Input!C21)),"",Input!X21)</f>
        <v/>
      </c>
      <c r="O20">
        <f>IF(OR(ISBLANK(Input!G21),ISBLANK(Input!C21),Input!R21=0),0,Input!G21)</f>
        <v>0</v>
      </c>
      <c r="P20">
        <f>IF(OR(ISBLANK(Input!G21),ISBLANK(Input!C21),Input!R21=0),0,Input!G21-1)</f>
        <v>0</v>
      </c>
      <c r="Q20" s="81" t="str">
        <f>IF(AND(ISNUMBER(Input!C21),ISNUMBER(Input!R21)),Input!X21^2*Calc!P20,"")</f>
        <v/>
      </c>
      <c r="R20" s="81"/>
      <c r="S20" s="94" t="str">
        <f>IF(AND(ISNUMBER(Input!$C21),ISNUMBER(Input!$S21)),G20*$C$5+$C$6,"")</f>
        <v/>
      </c>
      <c r="T20" s="95" t="str">
        <f>IF(AND(ISNUMBER(Input!$C21),ISNUMBER(Input!$S21)),G20*$C$7+$C$8,"")</f>
        <v/>
      </c>
      <c r="U20" s="94" t="b">
        <f>IF(AND(ISNUMBER(Input!$C21),ISNUMBER(Input!$S21)),IF(Input!$G$33="N",NA(),H20-$S20))</f>
        <v>0</v>
      </c>
      <c r="V20" s="96" t="b">
        <f>IF(AND(ISNUMBER(Input!$C21),ISNUMBER(Input!$S21)),IF(Input!$G$32="N",NA(),H20-$T20))</f>
        <v>0</v>
      </c>
      <c r="W20" s="95"/>
      <c r="X20" s="95"/>
      <c r="Y20" s="20">
        <v>-2.4</v>
      </c>
      <c r="Z20" s="22">
        <f t="shared" si="0"/>
        <v>5.5986325737107254E-2</v>
      </c>
    </row>
    <row r="21" spans="1:26" x14ac:dyDescent="0.45">
      <c r="C21">
        <f>$C$14</f>
        <v>0</v>
      </c>
      <c r="D21" t="e">
        <f>IF(Input!$G$32="N",NA(),IF(Input!$G$32="Y",C21*$C$7+$C$8))</f>
        <v>#DIV/0!</v>
      </c>
      <c r="F21" s="2">
        <v>13</v>
      </c>
      <c r="G21" s="101" t="str">
        <f>IF(OR(ISBLANK(Input!C22),COUNT(Input!H22:Q22)&lt;2),"",Input!C22)</f>
        <v/>
      </c>
      <c r="H21" s="22" t="str">
        <f>IF(OR(ISBLANK(Input!C22),COUNT(Input!H22:Q22)&lt;2),"",Input!S22)</f>
        <v/>
      </c>
      <c r="J21" s="60" t="str">
        <f>IF(OR(ISBLANK(Input!C22),COUNT(Input!H22:Q22)&lt;2),"",Input!S22-Input!C22)</f>
        <v/>
      </c>
      <c r="K21" t="str">
        <f>IF(ISNUMBER(Input!R22),Input!R22-1,"")</f>
        <v/>
      </c>
      <c r="L21" s="81" t="str">
        <f>IF(AND(ISNUMBER(Input!C22),ISNUMBER(Input!R22)),Input!X22^2*K21,"")</f>
        <v/>
      </c>
      <c r="N21" s="131" t="str">
        <f>IF(OR(Input!R22=0,ISBLANK(Input!C22)),"",Input!X22)</f>
        <v/>
      </c>
      <c r="O21">
        <f>IF(OR(ISBLANK(Input!G22),ISBLANK(Input!C22),Input!R22=0),0,Input!G22)</f>
        <v>0</v>
      </c>
      <c r="P21">
        <f>IF(OR(ISBLANK(Input!G22),ISBLANK(Input!C22),Input!R22=0),0,Input!G22-1)</f>
        <v>0</v>
      </c>
      <c r="Q21" s="81" t="str">
        <f>IF(AND(ISNUMBER(Input!C22),ISNUMBER(Input!R22)),Input!X22^2*Calc!P21,"")</f>
        <v/>
      </c>
      <c r="R21" s="81"/>
      <c r="S21" s="94" t="str">
        <f>IF(AND(ISNUMBER(Input!$C22),ISNUMBER(Input!$S22)),G21*$C$5+$C$6,"")</f>
        <v/>
      </c>
      <c r="T21" s="95" t="str">
        <f>IF(AND(ISNUMBER(Input!$C22),ISNUMBER(Input!$S22)),G21*$C$7+$C$8,"")</f>
        <v/>
      </c>
      <c r="U21" s="94" t="b">
        <f>IF(AND(ISNUMBER(Input!$C22),ISNUMBER(Input!$S22)),IF(Input!$G$33="N",NA(),H21-$S21))</f>
        <v>0</v>
      </c>
      <c r="V21" s="96" t="b">
        <f>IF(AND(ISNUMBER(Input!$C22),ISNUMBER(Input!$S22)),IF(Input!$G$32="N",NA(),H21-$T21))</f>
        <v>0</v>
      </c>
      <c r="W21" s="95"/>
      <c r="X21" s="95"/>
      <c r="Y21" s="20">
        <v>-2.2999999999999998</v>
      </c>
      <c r="Z21" s="22">
        <f t="shared" si="0"/>
        <v>7.0817594354002977E-2</v>
      </c>
    </row>
    <row r="22" spans="1:26" x14ac:dyDescent="0.45">
      <c r="C22">
        <f>$C$15</f>
        <v>0</v>
      </c>
      <c r="D22" t="e">
        <f>IF(Input!$G$32="N",NA(),IF(Input!$G$32="Y",C22*$C$7+$C$8))</f>
        <v>#DIV/0!</v>
      </c>
      <c r="F22" s="2">
        <v>14</v>
      </c>
      <c r="G22" s="101" t="str">
        <f>IF(OR(ISBLANK(Input!C23),COUNT(Input!H23:Q23)&lt;2),"",Input!C23)</f>
        <v/>
      </c>
      <c r="H22" s="22" t="str">
        <f>IF(OR(ISBLANK(Input!C23),COUNT(Input!H23:Q23)&lt;2),"",Input!S23)</f>
        <v/>
      </c>
      <c r="J22" s="60" t="str">
        <f>IF(OR(ISBLANK(Input!C23),COUNT(Input!H23:Q23)&lt;2),"",Input!S23-Input!C23)</f>
        <v/>
      </c>
      <c r="K22" t="str">
        <f>IF(ISNUMBER(Input!R23),Input!R23-1,"")</f>
        <v/>
      </c>
      <c r="L22" s="81" t="str">
        <f>IF(AND(ISNUMBER(Input!C23),ISNUMBER(Input!R23)),Input!X23^2*K22,"")</f>
        <v/>
      </c>
      <c r="N22" s="131" t="str">
        <f>IF(OR(Input!R23=0,ISBLANK(Input!C23)),"",Input!X23)</f>
        <v/>
      </c>
      <c r="O22">
        <f>IF(OR(ISBLANK(Input!G23),ISBLANK(Input!C23),Input!R23=0),0,Input!G23)</f>
        <v>0</v>
      </c>
      <c r="P22">
        <f>IF(OR(ISBLANK(Input!G23),ISBLANK(Input!C23),Input!R23=0),0,Input!G23-1)</f>
        <v>0</v>
      </c>
      <c r="Q22" s="81" t="str">
        <f>IF(AND(ISNUMBER(Input!C23),ISNUMBER(Input!R23)),Input!X23^2*Calc!P22,"")</f>
        <v/>
      </c>
      <c r="R22" s="81"/>
      <c r="S22" s="94" t="str">
        <f>IF(AND(ISNUMBER(Input!$C23),ISNUMBER(Input!$S23)),G22*$C$5+$C$6,"")</f>
        <v/>
      </c>
      <c r="T22" s="95" t="str">
        <f>IF(AND(ISNUMBER(Input!$C23),ISNUMBER(Input!$S23)),G22*$C$7+$C$8,"")</f>
        <v/>
      </c>
      <c r="U22" s="94" t="b">
        <f>IF(AND(ISNUMBER(Input!$C23),ISNUMBER(Input!$S23)),IF(Input!$G$33="N",NA(),H22-$S22))</f>
        <v>0</v>
      </c>
      <c r="V22" s="96" t="b">
        <f>IF(AND(ISNUMBER(Input!$C23),ISNUMBER(Input!$S23)),IF(Input!$G$32="N",NA(),H22-$T22))</f>
        <v>0</v>
      </c>
      <c r="W22" s="95" t="str">
        <f t="shared" ref="W22:W28" si="1">IF(ISNUMBER(U22),U22,"")</f>
        <v/>
      </c>
      <c r="X22" s="95" t="str">
        <f t="shared" ref="X22:X28" si="2">IF(ISNUMBER(V22),V22,"")</f>
        <v/>
      </c>
      <c r="Y22" s="20">
        <v>-2.2000000000000002</v>
      </c>
      <c r="Z22" s="22">
        <f t="shared" si="0"/>
        <v>8.8686482115578572E-2</v>
      </c>
    </row>
    <row r="23" spans="1:26" x14ac:dyDescent="0.45">
      <c r="F23" s="2">
        <v>15</v>
      </c>
      <c r="G23" s="101" t="str">
        <f>IF(OR(ISBLANK(Input!C24),COUNT(Input!H24:Q24)&lt;2),"",Input!C24)</f>
        <v/>
      </c>
      <c r="H23" s="22" t="str">
        <f>IF(OR(ISBLANK(Input!C24),COUNT(Input!H24:Q24)&lt;2),"",Input!S24)</f>
        <v/>
      </c>
      <c r="J23" s="60" t="str">
        <f>IF(OR(ISBLANK(Input!C24),COUNT(Input!H24:Q24)&lt;2),"",Input!S24-Input!C24)</f>
        <v/>
      </c>
      <c r="K23" t="str">
        <f>IF(ISNUMBER(Input!R24),Input!R24-1,"")</f>
        <v/>
      </c>
      <c r="L23" s="81" t="str">
        <f>IF(AND(ISNUMBER(Input!C24),ISNUMBER(Input!R24)),Input!X24^2*K23,"")</f>
        <v/>
      </c>
      <c r="N23" s="131" t="str">
        <f>IF(OR(Input!R24=0,ISBLANK(Input!C24)),"",Input!X24)</f>
        <v/>
      </c>
      <c r="O23">
        <f>IF(OR(ISBLANK(Input!G24),ISBLANK(Input!C24),Input!R24=0),0,Input!G24)</f>
        <v>0</v>
      </c>
      <c r="P23">
        <f>IF(OR(ISBLANK(Input!G24),ISBLANK(Input!C24),Input!R24=0),0,Input!G24-1)</f>
        <v>0</v>
      </c>
      <c r="Q23" s="81" t="str">
        <f>IF(AND(ISNUMBER(Input!C24),ISNUMBER(Input!R24)),Input!X24^2*Calc!P23,"")</f>
        <v/>
      </c>
      <c r="R23" s="81"/>
      <c r="S23" s="94" t="str">
        <f>IF(AND(ISNUMBER(Input!$C24),ISNUMBER(Input!$S24)),G23*$C$5+$C$6,"")</f>
        <v/>
      </c>
      <c r="T23" s="95" t="str">
        <f>IF(AND(ISNUMBER(Input!$C24),ISNUMBER(Input!$S24)),G23*$C$7+$C$8,"")</f>
        <v/>
      </c>
      <c r="U23" s="94" t="b">
        <f>IF(AND(ISNUMBER(Input!$C24),ISNUMBER(Input!$S24)),IF(Input!$G$33="N",NA(),H23-$S23))</f>
        <v>0</v>
      </c>
      <c r="V23" s="96" t="b">
        <f>IF(AND(ISNUMBER(Input!$C24),ISNUMBER(Input!$S24)),IF(Input!$G$32="N",NA(),H23-$T23))</f>
        <v>0</v>
      </c>
      <c r="W23" s="95" t="str">
        <f t="shared" si="1"/>
        <v/>
      </c>
      <c r="X23" s="95" t="str">
        <f t="shared" si="2"/>
        <v/>
      </c>
      <c r="Y23" s="20">
        <v>-2.1</v>
      </c>
      <c r="Z23" s="22">
        <f t="shared" si="0"/>
        <v>0.109958989951068</v>
      </c>
    </row>
    <row r="24" spans="1:26" x14ac:dyDescent="0.45">
      <c r="B24" s="2" t="s">
        <v>92</v>
      </c>
      <c r="C24" s="81" t="e">
        <f>IF(AND(Input!Y4="Y",Input!Y7="Y"),AVERAGE(Input!V10:V29),NA())</f>
        <v>#N/A</v>
      </c>
      <c r="D24" s="81" t="e">
        <f>C24</f>
        <v>#N/A</v>
      </c>
      <c r="E24" s="81" t="e">
        <f>IF(AND(Input!Y4="Y",Input!Y7="Y"),STDEV(Input!V10:V29),NA())</f>
        <v>#N/A</v>
      </c>
      <c r="F24" s="2">
        <v>16</v>
      </c>
      <c r="G24" s="101" t="str">
        <f>IF(OR(ISBLANK(Input!C25),COUNT(Input!H25:Q25)&lt;2),"",Input!C25)</f>
        <v/>
      </c>
      <c r="H24" s="22" t="str">
        <f>IF(OR(ISBLANK(Input!C25),COUNT(Input!H25:Q25)&lt;2),"",Input!S25)</f>
        <v/>
      </c>
      <c r="J24" s="60" t="str">
        <f>IF(OR(ISBLANK(Input!C25),COUNT(Input!H25:Q25)&lt;2),"",Input!S25-Input!C25)</f>
        <v/>
      </c>
      <c r="K24" t="str">
        <f>IF(ISNUMBER(Input!R25),Input!R25-1,"")</f>
        <v/>
      </c>
      <c r="L24" s="81" t="str">
        <f>IF(AND(ISNUMBER(Input!C25),ISNUMBER(Input!R25)),Input!X25^2*K24,"")</f>
        <v/>
      </c>
      <c r="N24" s="131" t="str">
        <f>IF(OR(Input!R25=0,ISBLANK(Input!C25)),"",Input!X25)</f>
        <v/>
      </c>
      <c r="O24">
        <f>IF(OR(ISBLANK(Input!G25),ISBLANK(Input!C25),Input!R25=0),0,Input!G25)</f>
        <v>0</v>
      </c>
      <c r="P24">
        <f>IF(OR(ISBLANK(Input!G25),ISBLANK(Input!C25),Input!R25=0),0,Input!G25-1)</f>
        <v>0</v>
      </c>
      <c r="Q24" s="81" t="str">
        <f>IF(AND(ISNUMBER(Input!C25),ISNUMBER(Input!R25)),Input!X25^2*Calc!P24,"")</f>
        <v/>
      </c>
      <c r="R24" s="81"/>
      <c r="S24" s="94" t="str">
        <f>IF(AND(ISNUMBER(Input!$C25),ISNUMBER(Input!$S25)),G24*$C$5+$C$6,"")</f>
        <v/>
      </c>
      <c r="T24" s="95" t="str">
        <f>IF(AND(ISNUMBER(Input!$C25),ISNUMBER(Input!$S25)),G24*$C$7+$C$8,"")</f>
        <v/>
      </c>
      <c r="U24" s="94" t="b">
        <f>IF(AND(ISNUMBER(Input!$C25),ISNUMBER(Input!$S25)),IF(Input!$G$33="N",NA(),H24-$S24))</f>
        <v>0</v>
      </c>
      <c r="V24" s="96" t="b">
        <f>IF(AND(ISNUMBER(Input!$C25),ISNUMBER(Input!$S25)),IF(Input!$G$32="N",NA(),H24-$T24))</f>
        <v>0</v>
      </c>
      <c r="W24" s="95" t="str">
        <f t="shared" si="1"/>
        <v/>
      </c>
      <c r="X24" s="95" t="str">
        <f t="shared" si="2"/>
        <v/>
      </c>
      <c r="Y24" s="20">
        <v>-2</v>
      </c>
      <c r="Z24" s="22">
        <f t="shared" si="0"/>
        <v>0.13497741628297016</v>
      </c>
    </row>
    <row r="25" spans="1:26" x14ac:dyDescent="0.45">
      <c r="B25" s="2" t="s">
        <v>93</v>
      </c>
      <c r="C25" s="81" t="e">
        <f>IF(AND(Input!Y4="Y",Input!Y7="Y"),AVERAGE(Input!W10:W29),NA())</f>
        <v>#N/A</v>
      </c>
      <c r="D25" s="81" t="e">
        <f>C25</f>
        <v>#N/A</v>
      </c>
      <c r="E25" s="81" t="e">
        <f>IF(AND(Input!Y4="Y",Input!Y7="Y"),STDEV(Input!W10:W29),NA())</f>
        <v>#N/A</v>
      </c>
      <c r="F25" s="2">
        <v>17</v>
      </c>
      <c r="G25" s="101" t="str">
        <f>IF(OR(ISBLANK(Input!C26),COUNT(Input!H26:Q26)&lt;2),"",Input!C26)</f>
        <v/>
      </c>
      <c r="H25" s="22" t="str">
        <f>IF(OR(ISBLANK(Input!C26),COUNT(Input!H26:Q26)&lt;2),"",Input!S26)</f>
        <v/>
      </c>
      <c r="J25" s="60" t="str">
        <f>IF(OR(ISBLANK(Input!C26),COUNT(Input!H26:Q26)&lt;2),"",Input!S26-Input!C26)</f>
        <v/>
      </c>
      <c r="K25" t="str">
        <f>IF(ISNUMBER(Input!R26),Input!R26-1,"")</f>
        <v/>
      </c>
      <c r="L25" s="81" t="str">
        <f>IF(AND(ISNUMBER(Input!C26),ISNUMBER(Input!R26)),Input!X26^2*K25,"")</f>
        <v/>
      </c>
      <c r="N25" s="131" t="str">
        <f>IF(OR(Input!R26=0,ISBLANK(Input!C26)),"",Input!X26)</f>
        <v/>
      </c>
      <c r="O25">
        <f>IF(OR(ISBLANK(Input!G26),ISBLANK(Input!C26),Input!R26=0),0,Input!G26)</f>
        <v>0</v>
      </c>
      <c r="P25">
        <f>IF(OR(ISBLANK(Input!G26),ISBLANK(Input!C26),Input!R26=0),0,Input!G26-1)</f>
        <v>0</v>
      </c>
      <c r="Q25" s="81" t="str">
        <f>IF(AND(ISNUMBER(Input!C26),ISNUMBER(Input!R26)),Input!X26^2*Calc!P25,"")</f>
        <v/>
      </c>
      <c r="R25" s="81"/>
      <c r="S25" s="94" t="str">
        <f>IF(AND(ISNUMBER(Input!$C26),ISNUMBER(Input!$S26)),G25*$C$5+$C$6,"")</f>
        <v/>
      </c>
      <c r="T25" s="95" t="str">
        <f>IF(AND(ISNUMBER(Input!$C26),ISNUMBER(Input!$S26)),G25*$C$7+$C$8,"")</f>
        <v/>
      </c>
      <c r="U25" s="94" t="b">
        <f>IF(AND(ISNUMBER(Input!$C26),ISNUMBER(Input!$S26)),IF(Input!$G$33="N",NA(),H25-$S25))</f>
        <v>0</v>
      </c>
      <c r="V25" s="96" t="b">
        <f>IF(AND(ISNUMBER(Input!$C26),ISNUMBER(Input!$S26)),IF(Input!$G$32="N",NA(),H25-$T25))</f>
        <v>0</v>
      </c>
      <c r="W25" s="95" t="str">
        <f t="shared" si="1"/>
        <v/>
      </c>
      <c r="X25" s="95" t="str">
        <f t="shared" si="2"/>
        <v/>
      </c>
      <c r="Y25" s="20">
        <v>-1.9</v>
      </c>
      <c r="Z25" s="22">
        <f t="shared" si="0"/>
        <v>0.16403953693669152</v>
      </c>
    </row>
    <row r="26" spans="1:26" x14ac:dyDescent="0.45">
      <c r="A26" t="s">
        <v>94</v>
      </c>
      <c r="B26" t="e">
        <f>C24-Input!$Z$4*E24</f>
        <v>#N/A</v>
      </c>
      <c r="C26" t="e">
        <f>C24-Input!$Z$4*E24</f>
        <v>#N/A</v>
      </c>
      <c r="D26" t="e">
        <f>C24+Input!$Z$4*E24</f>
        <v>#N/A</v>
      </c>
      <c r="E26" t="e">
        <f>C24+Input!$Z$4*E24</f>
        <v>#N/A</v>
      </c>
      <c r="F26" s="2">
        <v>18</v>
      </c>
      <c r="G26" s="101" t="str">
        <f>IF(OR(ISBLANK(Input!C27),COUNT(Input!H27:Q27)&lt;2),"",Input!C27)</f>
        <v/>
      </c>
      <c r="H26" s="22" t="str">
        <f>IF(OR(ISBLANK(Input!C27),COUNT(Input!H27:Q27)&lt;2),"",Input!S27)</f>
        <v/>
      </c>
      <c r="J26" s="60" t="str">
        <f>IF(OR(ISBLANK(Input!C27),COUNT(Input!H27:Q27)&lt;2),"",Input!S27-Input!C27)</f>
        <v/>
      </c>
      <c r="K26" t="str">
        <f>IF(ISNUMBER(Input!R27),Input!R27-1,"")</f>
        <v/>
      </c>
      <c r="L26" s="81" t="str">
        <f>IF(AND(ISNUMBER(Input!C27),ISNUMBER(Input!R27)),Input!X27^2*K26,"")</f>
        <v/>
      </c>
      <c r="N26" s="131" t="str">
        <f>IF(OR(Input!R27=0,ISBLANK(Input!C27)),"",Input!X27)</f>
        <v/>
      </c>
      <c r="O26">
        <f>IF(OR(ISBLANK(Input!G27),ISBLANK(Input!C27),Input!R27=0),0,Input!G27)</f>
        <v>0</v>
      </c>
      <c r="P26">
        <f>IF(OR(ISBLANK(Input!G27),ISBLANK(Input!C27),Input!R27=0),0,Input!G27-1)</f>
        <v>0</v>
      </c>
      <c r="Q26" s="81" t="str">
        <f>IF(AND(ISNUMBER(Input!C27),ISNUMBER(Input!R27)),Input!X27^2*Calc!P26,"")</f>
        <v/>
      </c>
      <c r="R26" s="81"/>
      <c r="S26" s="94" t="str">
        <f>IF(AND(ISNUMBER(Input!$C27),ISNUMBER(Input!$S27)),G26*$C$5+$C$6,"")</f>
        <v/>
      </c>
      <c r="T26" s="95" t="str">
        <f>IF(AND(ISNUMBER(Input!$C27),ISNUMBER(Input!$S27)),G26*$C$7+$C$8,"")</f>
        <v/>
      </c>
      <c r="U26" s="94" t="b">
        <f>IF(AND(ISNUMBER(Input!$C27),ISNUMBER(Input!$S27)),IF(Input!$G$33="N",NA(),H26-$S26))</f>
        <v>0</v>
      </c>
      <c r="V26" s="96" t="b">
        <f>IF(AND(ISNUMBER(Input!$C27),ISNUMBER(Input!$S27)),IF(Input!$G$32="N",NA(),H26-$T26))</f>
        <v>0</v>
      </c>
      <c r="W26" s="95" t="str">
        <f t="shared" si="1"/>
        <v/>
      </c>
      <c r="X26" s="95" t="str">
        <f t="shared" si="2"/>
        <v/>
      </c>
      <c r="Y26" s="20">
        <v>-1.8</v>
      </c>
      <c r="Z26" s="22">
        <f t="shared" si="0"/>
        <v>0.19737539575223539</v>
      </c>
    </row>
    <row r="27" spans="1:26" x14ac:dyDescent="0.45">
      <c r="A27" t="s">
        <v>94</v>
      </c>
      <c r="B27" t="e">
        <f>C25-Input!$Z$4*E25</f>
        <v>#N/A</v>
      </c>
      <c r="C27" t="e">
        <f>C25-Input!$Z$4*E25</f>
        <v>#N/A</v>
      </c>
      <c r="D27" t="e">
        <f>C25+Input!$Z$4*E25</f>
        <v>#N/A</v>
      </c>
      <c r="E27" t="e">
        <f>C25+Input!$Z$4*E25</f>
        <v>#N/A</v>
      </c>
      <c r="F27" s="2">
        <v>19</v>
      </c>
      <c r="G27" s="101" t="str">
        <f>IF(OR(ISBLANK(Input!C28),COUNT(Input!H28:Q28)&lt;2),"",Input!C28)</f>
        <v/>
      </c>
      <c r="H27" s="22" t="str">
        <f>IF(OR(ISBLANK(Input!C28),COUNT(Input!H28:Q28)&lt;2),"",Input!S28)</f>
        <v/>
      </c>
      <c r="J27" s="60" t="str">
        <f>IF(OR(ISBLANK(Input!C28),COUNT(Input!H28:Q28)&lt;2),"",Input!S28-Input!C28)</f>
        <v/>
      </c>
      <c r="K27" t="str">
        <f>IF(ISNUMBER(Input!R28),Input!R28-1,"")</f>
        <v/>
      </c>
      <c r="L27" s="81" t="str">
        <f>IF(AND(ISNUMBER(Input!C28),ISNUMBER(Input!R28)),Input!X28^2*K27,"")</f>
        <v/>
      </c>
      <c r="N27" s="131" t="str">
        <f>IF(OR(Input!R28=0,ISBLANK(Input!C28)),"",Input!X28)</f>
        <v/>
      </c>
      <c r="O27">
        <f>IF(OR(ISBLANK(Input!G28),ISBLANK(Input!C28),Input!R28=0),0,Input!G28)</f>
        <v>0</v>
      </c>
      <c r="P27">
        <f>IF(OR(ISBLANK(Input!G28),ISBLANK(Input!C28),Input!R28=0),0,Input!G28-1)</f>
        <v>0</v>
      </c>
      <c r="Q27" s="81" t="str">
        <f>IF(AND(ISNUMBER(Input!C28),ISNUMBER(Input!R28)),Input!X28^2*Calc!P27,"")</f>
        <v/>
      </c>
      <c r="R27" s="81"/>
      <c r="S27" s="94" t="str">
        <f>IF(AND(ISNUMBER(Input!$C28),ISNUMBER(Input!$S28)),G27*$C$5+$C$6,"")</f>
        <v/>
      </c>
      <c r="T27" s="95" t="str">
        <f>IF(AND(ISNUMBER(Input!$C28),ISNUMBER(Input!$S28)),G27*$C$7+$C$8,"")</f>
        <v/>
      </c>
      <c r="U27" s="94" t="b">
        <f>IF(AND(ISNUMBER(Input!$C28),ISNUMBER(Input!$S28)),IF(Input!$G$33="N",NA(),H27-$S27))</f>
        <v>0</v>
      </c>
      <c r="V27" s="96" t="b">
        <f>IF(AND(ISNUMBER(Input!$C28),ISNUMBER(Input!$S28)),IF(Input!$G$32="N",NA(),H27-$T27))</f>
        <v>0</v>
      </c>
      <c r="W27" s="95" t="str">
        <f t="shared" si="1"/>
        <v/>
      </c>
      <c r="X27" s="95" t="str">
        <f t="shared" si="2"/>
        <v/>
      </c>
      <c r="Y27" s="20">
        <v>-1.7</v>
      </c>
      <c r="Z27" s="22">
        <f t="shared" si="0"/>
        <v>0.2351226934422174</v>
      </c>
    </row>
    <row r="28" spans="1:26" x14ac:dyDescent="0.45">
      <c r="F28" s="2">
        <v>20</v>
      </c>
      <c r="G28" s="103" t="str">
        <f>IF(OR(ISBLANK(Input!C29),COUNT(Input!H29:Q29)&lt;2),"",Input!C29)</f>
        <v/>
      </c>
      <c r="H28" s="25" t="str">
        <f>IF(OR(ISBLANK(Input!C29),COUNT(Input!H29:Q29)&lt;2),"",Input!S29)</f>
        <v/>
      </c>
      <c r="J28" s="60" t="str">
        <f>IF(OR(ISBLANK(Input!C29),COUNT(Input!H29:Q29)&lt;2),"",Input!S29-Input!C29)</f>
        <v/>
      </c>
      <c r="K28" t="str">
        <f>IF(ISNUMBER(Input!R29),Input!R29-1,"")</f>
        <v/>
      </c>
      <c r="L28" s="81" t="str">
        <f>IF(AND(ISNUMBER(Input!C29),ISNUMBER(Input!R29)),Input!X29^2*K28,"")</f>
        <v/>
      </c>
      <c r="N28" s="131" t="str">
        <f>IF(OR(Input!R29=0,ISBLANK(Input!C29)),"",Input!X29)</f>
        <v/>
      </c>
      <c r="O28">
        <f>IF(OR(ISBLANK(Input!G29),ISBLANK(Input!C29),Input!R29=0),0,Input!G29)</f>
        <v>0</v>
      </c>
      <c r="P28">
        <f>IF(OR(ISBLANK(Input!G29),ISBLANK(Input!C29),Input!R29=0),0,Input!G29-1)</f>
        <v>0</v>
      </c>
      <c r="Q28" s="81" t="str">
        <f>IF(AND(ISNUMBER(Input!C29),ISNUMBER(Input!R29)),Input!X29^2*Calc!P28,"")</f>
        <v/>
      </c>
      <c r="R28" s="81"/>
      <c r="S28" s="94" t="str">
        <f>IF(AND(ISNUMBER(Input!$C29),ISNUMBER(Input!$S29)),G28*$C$5+$C$6,"")</f>
        <v/>
      </c>
      <c r="T28" s="95" t="str">
        <f>IF(AND(ISNUMBER(Input!$C29),ISNUMBER(Input!$S29)),G28*$C$7+$C$8,"")</f>
        <v/>
      </c>
      <c r="U28" s="97" t="b">
        <f>IF(AND(ISNUMBER(Input!$C29),ISNUMBER(Input!$S29)),IF(Input!$G$33="N",NA(),H28-$S28))</f>
        <v>0</v>
      </c>
      <c r="V28" s="98" t="b">
        <f>IF(AND(ISNUMBER(Input!$C29),ISNUMBER(Input!$S29)),IF(Input!$G$32="N",NA(),H28-$T28))</f>
        <v>0</v>
      </c>
      <c r="W28" s="95" t="str">
        <f t="shared" si="1"/>
        <v/>
      </c>
      <c r="X28" s="95" t="str">
        <f t="shared" si="2"/>
        <v/>
      </c>
      <c r="Y28" s="20">
        <v>-1.6</v>
      </c>
      <c r="Z28" s="22">
        <f t="shared" si="0"/>
        <v>0.27730208669863887</v>
      </c>
    </row>
    <row r="29" spans="1:26" x14ac:dyDescent="0.45">
      <c r="F29" s="17" t="s">
        <v>54</v>
      </c>
      <c r="G29" s="18" t="e">
        <f>AVERAGE(G9:G28)</f>
        <v>#DIV/0!</v>
      </c>
      <c r="H29" s="19" t="e">
        <f>AVERAGE(H9:H28)</f>
        <v>#DIV/0!</v>
      </c>
      <c r="I29" s="17" t="s">
        <v>57</v>
      </c>
      <c r="J29" s="19" t="e">
        <f>AVERAGE(J9:J28)</f>
        <v>#DIV/0!</v>
      </c>
      <c r="K29" s="21"/>
      <c r="L29">
        <f>COUNTIF(L9:L28,0)</f>
        <v>0</v>
      </c>
      <c r="N29">
        <f>COUNT(N9:N28)</f>
        <v>0</v>
      </c>
      <c r="R29" s="17"/>
      <c r="S29" s="260" t="s">
        <v>83</v>
      </c>
      <c r="T29" s="259"/>
      <c r="U29" s="260" t="s">
        <v>77</v>
      </c>
      <c r="V29" s="259"/>
      <c r="Y29" s="20">
        <v>-1.5</v>
      </c>
      <c r="Z29" s="22">
        <f t="shared" si="0"/>
        <v>0.3237939891647294</v>
      </c>
    </row>
    <row r="30" spans="1:26" ht="15.75" x14ac:dyDescent="0.55000000000000004">
      <c r="A30" s="3" t="s">
        <v>112</v>
      </c>
      <c r="F30" s="23" t="s">
        <v>53</v>
      </c>
      <c r="G30" s="24" t="e">
        <f>MEDIAN(G9:G28)</f>
        <v>#NUM!</v>
      </c>
      <c r="H30" s="25" t="e">
        <f>MEDIAN(H9:H28)</f>
        <v>#NUM!</v>
      </c>
      <c r="I30" s="20" t="s">
        <v>18</v>
      </c>
      <c r="J30" s="22" t="e">
        <f>STDEV(J9:J28)</f>
        <v>#DIV/0!</v>
      </c>
      <c r="K30" s="2" t="s">
        <v>50</v>
      </c>
      <c r="L30">
        <f>SUM(L9:L28)</f>
        <v>0</v>
      </c>
      <c r="P30" t="str">
        <f>K30</f>
        <v>Sum:</v>
      </c>
      <c r="Q30">
        <f>SUM(Q9:Q28)</f>
        <v>0</v>
      </c>
      <c r="R30" s="94">
        <f>MIN(G9:G28)</f>
        <v>0</v>
      </c>
      <c r="S30" s="21">
        <f>IF(Input!J32="Y",R30*(1+Input!$J$31),"")</f>
        <v>0</v>
      </c>
      <c r="T30" s="22">
        <f>IF(Input!J32="Y",R30*(1-Input!$J$31),"")</f>
        <v>0</v>
      </c>
      <c r="U30">
        <f>IF(Input!J32="Y",R30*Input!$J$31,"")</f>
        <v>0</v>
      </c>
      <c r="V30">
        <f>-U30</f>
        <v>0</v>
      </c>
      <c r="Y30" s="20">
        <v>-1.4</v>
      </c>
      <c r="Z30" s="22">
        <f t="shared" si="0"/>
        <v>0.37431866408936221</v>
      </c>
    </row>
    <row r="31" spans="1:26" x14ac:dyDescent="0.45">
      <c r="A31" t="s">
        <v>79</v>
      </c>
      <c r="I31" s="20" t="s">
        <v>58</v>
      </c>
      <c r="J31" s="22">
        <f>COUNT(J9:J28)-L29</f>
        <v>0</v>
      </c>
      <c r="K31" s="2" t="s">
        <v>145</v>
      </c>
      <c r="L31" s="81">
        <f>SUM(Input!R10:R29)-(COUNT(L9:L28)-L29)</f>
        <v>0</v>
      </c>
      <c r="P31" t="str">
        <f>K31</f>
        <v>Denom:</v>
      </c>
      <c r="Q31" s="78">
        <f>SUM(O9:O28)-COUNT(N9:N28)</f>
        <v>0</v>
      </c>
      <c r="R31" s="106">
        <f>MAX(G9:G28)</f>
        <v>0</v>
      </c>
      <c r="S31" s="24">
        <f>IF(Input!J32="Y",R31*(1+Input!$J$31),"")</f>
        <v>0</v>
      </c>
      <c r="T31" s="25">
        <f>IF(Input!J32="Y",R31*(1-Input!$J$31),"")</f>
        <v>0</v>
      </c>
      <c r="U31">
        <f>IF(Input!J32="Y",R31*Input!$J$31,"")</f>
        <v>0</v>
      </c>
      <c r="V31">
        <f>-U31</f>
        <v>0</v>
      </c>
      <c r="Y31" s="20">
        <v>-1.3</v>
      </c>
      <c r="Z31" s="22">
        <f t="shared" si="0"/>
        <v>0.42842148011951842</v>
      </c>
    </row>
    <row r="32" spans="1:26" x14ac:dyDescent="0.45">
      <c r="A32" t="s">
        <v>121</v>
      </c>
      <c r="F32" t="s">
        <v>134</v>
      </c>
      <c r="G32" t="e">
        <f>STDEV(G9:G28)/SQRT(COUNT(G9:G28))</f>
        <v>#DIV/0!</v>
      </c>
      <c r="I32" s="23" t="s">
        <v>26</v>
      </c>
      <c r="J32" s="25" t="e">
        <f>J29*SQRT(J31)/J30</f>
        <v>#DIV/0!</v>
      </c>
      <c r="K32" s="2" t="s">
        <v>62</v>
      </c>
      <c r="L32" t="e">
        <f>SQRT(L30/L31)</f>
        <v>#DIV/0!</v>
      </c>
      <c r="P32" t="str">
        <f>K32</f>
        <v>Pool SD:</v>
      </c>
      <c r="Q32" t="e">
        <f>IF(ISBLANK(Input!F7),"",SQRT(Q30/Q31))</f>
        <v>#DIV/0!</v>
      </c>
      <c r="W32" s="81"/>
      <c r="X32" s="81"/>
      <c r="Y32" s="20">
        <v>-1.2</v>
      </c>
      <c r="Z32" s="22">
        <f t="shared" si="0"/>
        <v>0.48546513745803244</v>
      </c>
    </row>
    <row r="33" spans="1:26" x14ac:dyDescent="0.45">
      <c r="A33" t="str">
        <f>IF(AND(Input!Y5="N",Input!AC5="N"),"",IF(Input!$AC$5="N","SEM of Peers","SD of Labs"))</f>
        <v>SEM of Peers</v>
      </c>
      <c r="U33" s="81"/>
      <c r="V33" s="81"/>
      <c r="Y33" s="20">
        <v>-1.1000000000000001</v>
      </c>
      <c r="Z33" s="22">
        <f t="shared" si="0"/>
        <v>0.54463044258137638</v>
      </c>
    </row>
    <row r="34" spans="1:26" x14ac:dyDescent="0.45">
      <c r="A34" t="s">
        <v>156</v>
      </c>
      <c r="Y34" s="20">
        <v>-1</v>
      </c>
      <c r="Z34" s="22">
        <f t="shared" si="0"/>
        <v>0.60492681129785841</v>
      </c>
    </row>
    <row r="35" spans="1:26" x14ac:dyDescent="0.45">
      <c r="A35" t="s">
        <v>122</v>
      </c>
      <c r="H35" t="str">
        <f>IF(ISNUMBER(I35),I35,"")</f>
        <v/>
      </c>
      <c r="I35" s="102" t="e">
        <f>IF(AND(ISNUMBER(Input!$C10),ISNUMBER(Input!$S10)),G9,NA())</f>
        <v>#N/A</v>
      </c>
      <c r="J35" s="94" t="str">
        <f>IF(OR(ISBLANK(Input!C10),COUNT(Input!H10:Q10)&lt;2),"",IF(Input!$J$32="Y",Input!S10-Input!C10,NA()))</f>
        <v/>
      </c>
      <c r="L35" s="257" t="s">
        <v>126</v>
      </c>
      <c r="M35" s="257"/>
      <c r="N35" s="257"/>
      <c r="Y35" s="20">
        <v>-0.9</v>
      </c>
      <c r="Z35" s="22">
        <f t="shared" si="0"/>
        <v>0.6652131247468871</v>
      </c>
    </row>
    <row r="36" spans="1:26" x14ac:dyDescent="0.45">
      <c r="A36" t="s">
        <v>111</v>
      </c>
      <c r="C36" s="81"/>
      <c r="H36" t="str">
        <f t="shared" ref="H36:H54" si="3">IF(ISNUMBER(I36),I36,"")</f>
        <v/>
      </c>
      <c r="I36" s="102" t="e">
        <f>IF(AND(ISNUMBER(Input!$C11),ISNUMBER(Input!$S11)),G10,NA())</f>
        <v>#N/A</v>
      </c>
      <c r="J36" s="94" t="str">
        <f>IF(OR(ISBLANK(Input!C11),COUNT(Input!H11:Q11)&lt;2),"",IF(Input!$J$32="Y",Input!S11-Input!C11,NA()))</f>
        <v/>
      </c>
      <c r="M36" s="90" t="s">
        <v>124</v>
      </c>
      <c r="N36" s="90" t="s">
        <v>125</v>
      </c>
      <c r="Y36" s="20">
        <v>-0.8</v>
      </c>
      <c r="Z36" s="22">
        <f t="shared" ref="Z36:Z67" si="4">2.5*1/($Z$2*SQRT(PI()*2))*EXP(-((Y36-$Z$3)^2)/(2*$Z$2^2))</f>
        <v>0.72422888190370682</v>
      </c>
    </row>
    <row r="37" spans="1:26" x14ac:dyDescent="0.45">
      <c r="A37" t="str">
        <f>IF(AND(Input!Y5="N",Input!AC5="N"),"",IF(Input!$AC$5="N","Rel  SEM (%) of Peers","%CV of Labs"))</f>
        <v>Rel  SEM (%) of Peers</v>
      </c>
      <c r="H37" t="str">
        <f t="shared" si="3"/>
        <v/>
      </c>
      <c r="I37" s="102" t="e">
        <f>IF(AND(ISNUMBER(Input!$C12),ISNUMBER(Input!$S12)),G11,NA())</f>
        <v>#N/A</v>
      </c>
      <c r="J37" s="94" t="str">
        <f>IF(OR(ISBLANK(Input!C12),COUNT(Input!H12:Q12)&lt;2),"",IF(Input!$J$32="Y",Input!S12-Input!C12,NA()))</f>
        <v/>
      </c>
      <c r="L37" t="e">
        <f>SLOPE(J35:J54,H35:H54)</f>
        <v>#DIV/0!</v>
      </c>
      <c r="M37">
        <f>IF(Input!J34="Y",MIN(H35:H54),NA())</f>
        <v>0</v>
      </c>
      <c r="N37" t="e">
        <f>L37*M37+L38</f>
        <v>#DIV/0!</v>
      </c>
      <c r="Y37" s="20">
        <v>-0.7</v>
      </c>
      <c r="Z37" s="22">
        <f t="shared" si="4"/>
        <v>0.78063483341690321</v>
      </c>
    </row>
    <row r="38" spans="1:26" x14ac:dyDescent="0.45">
      <c r="A38" t="s">
        <v>140</v>
      </c>
      <c r="H38" t="str">
        <f t="shared" si="3"/>
        <v/>
      </c>
      <c r="I38" s="102" t="e">
        <f>IF(AND(ISNUMBER(Input!$C13),ISNUMBER(Input!$S13)),G12,NA())</f>
        <v>#N/A</v>
      </c>
      <c r="J38" s="94" t="str">
        <f>IF(OR(ISBLANK(Input!C13),COUNT(Input!H13:Q13)&lt;2),"",IF(Input!$J$32="Y",Input!S13-Input!C13,NA()))</f>
        <v/>
      </c>
      <c r="L38" t="e">
        <f>INTERCEPT(J35:J54,H35:H54)</f>
        <v>#DIV/0!</v>
      </c>
      <c r="M38">
        <f>MAX(H35:H54)</f>
        <v>0</v>
      </c>
      <c r="N38" t="e">
        <f>L37*M38+L38</f>
        <v>#DIV/0!</v>
      </c>
      <c r="Y38" s="20">
        <v>-0.6</v>
      </c>
      <c r="Z38" s="22">
        <f t="shared" si="4"/>
        <v>0.83306150722949923</v>
      </c>
    </row>
    <row r="39" spans="1:26" x14ac:dyDescent="0.45">
      <c r="A39" t="s">
        <v>128</v>
      </c>
      <c r="H39" t="str">
        <f t="shared" si="3"/>
        <v/>
      </c>
      <c r="I39" s="102" t="e">
        <f>IF(AND(ISNUMBER(Input!$C14),ISNUMBER(Input!$S14)),G13,NA())</f>
        <v>#N/A</v>
      </c>
      <c r="J39" s="94" t="str">
        <f>IF(OR(ISBLANK(Input!C14),COUNT(Input!H14:Q14)&lt;2),"",IF(Input!$J$32="Y",Input!S14-Input!C14,NA()))</f>
        <v/>
      </c>
      <c r="Y39" s="20">
        <v>-0.5</v>
      </c>
      <c r="Z39" s="22">
        <f t="shared" si="4"/>
        <v>0.88016331691074889</v>
      </c>
    </row>
    <row r="40" spans="1:26" x14ac:dyDescent="0.45">
      <c r="A40" t="str">
        <f>IF(Input!AC5="Y","Peers'",IF(AND(Input!$Y$5="Y",Input!$AC$5="N"),"Labs'",""))</f>
        <v>Labs'</v>
      </c>
      <c r="H40" t="str">
        <f t="shared" si="3"/>
        <v/>
      </c>
      <c r="I40" s="102" t="e">
        <f>IF(AND(ISNUMBER(Input!$C15),ISNUMBER(Input!$S15)),G14,NA())</f>
        <v>#N/A</v>
      </c>
      <c r="J40" s="94" t="str">
        <f>IF(OR(ISBLANK(Input!C15),COUNT(Input!H15:Q15)&lt;2),"",IF(Input!$J$32="Y",Input!S15-Input!C15,NA()))</f>
        <v/>
      </c>
      <c r="Y40" s="20">
        <v>-0.4</v>
      </c>
      <c r="Z40" s="22">
        <f t="shared" si="4"/>
        <v>0.92067535075830842</v>
      </c>
    </row>
    <row r="41" spans="1:26" x14ac:dyDescent="0.45">
      <c r="A41" t="str">
        <f>IF(Input!AC5="Y","Labs",IF(AND(Input!$Y$5="Y",Input!$AC$5="N"),"Peers",""))</f>
        <v>Peers</v>
      </c>
      <c r="H41" t="str">
        <f t="shared" si="3"/>
        <v/>
      </c>
      <c r="I41" s="102" t="e">
        <f>IF(AND(ISNUMBER(Input!$C16),ISNUMBER(Input!$S16)),G15,NA())</f>
        <v>#N/A</v>
      </c>
      <c r="J41" s="94" t="str">
        <f>IF(OR(ISBLANK(Input!C16),COUNT(Input!H16:Q16)&lt;2),"",IF(Input!$J$32="Y",Input!S16-Input!C16,NA()))</f>
        <v/>
      </c>
      <c r="Y41" s="20">
        <v>-0.3</v>
      </c>
      <c r="Z41" s="22">
        <f t="shared" si="4"/>
        <v>0.95346953865131046</v>
      </c>
    </row>
    <row r="42" spans="1:26" x14ac:dyDescent="0.45">
      <c r="A42" t="str">
        <f>IF(Input!AC6="Y","Labs",IF(AND(Input!$Y$6="Y",Input!$AC$6="N"),"Peers",""))</f>
        <v>Labs</v>
      </c>
      <c r="H42" t="str">
        <f t="shared" si="3"/>
        <v/>
      </c>
      <c r="I42" s="102" t="e">
        <f>IF(AND(ISNUMBER(Input!$C17),ISNUMBER(Input!$S17)),G16,NA())</f>
        <v>#N/A</v>
      </c>
      <c r="J42" s="94" t="str">
        <f>IF(OR(ISBLANK(Input!C17),COUNT(Input!H17:Q17)&lt;2),"",IF(Input!$J$32="Y",Input!S17-Input!C17,NA()))</f>
        <v/>
      </c>
      <c r="Y42" s="20">
        <v>-0.2</v>
      </c>
      <c r="Z42" s="22">
        <f t="shared" si="4"/>
        <v>0.97760673493863981</v>
      </c>
    </row>
    <row r="43" spans="1:26" x14ac:dyDescent="0.45">
      <c r="H43" t="str">
        <f t="shared" si="3"/>
        <v/>
      </c>
      <c r="I43" s="102" t="e">
        <f>IF(AND(ISNUMBER(Input!$C18),ISNUMBER(Input!$S18)),G17,NA())</f>
        <v>#N/A</v>
      </c>
      <c r="J43" s="94" t="str">
        <f>IF(OR(ISBLANK(Input!C18),COUNT(Input!H18:Q18)&lt;2),"",IF(Input!$J$32="Y",Input!S18-Input!C18,NA()))</f>
        <v/>
      </c>
      <c r="Y43" s="20">
        <v>-0.1</v>
      </c>
      <c r="Z43" s="22">
        <f t="shared" si="4"/>
        <v>0.99238136869252958</v>
      </c>
    </row>
    <row r="44" spans="1:26" x14ac:dyDescent="0.45">
      <c r="H44" t="str">
        <f t="shared" si="3"/>
        <v/>
      </c>
      <c r="I44" s="102" t="e">
        <f>IF(AND(ISNUMBER(Input!$C19),ISNUMBER(Input!$S19)),G18,NA())</f>
        <v>#N/A</v>
      </c>
      <c r="J44" s="94" t="str">
        <f>IF(OR(ISBLANK(Input!C19),COUNT(Input!H19:Q19)&lt;2),"",IF(Input!$J$32="Y",Input!S19-Input!C19,NA()))</f>
        <v/>
      </c>
      <c r="Y44" s="20">
        <v>0</v>
      </c>
      <c r="Z44" s="22">
        <f t="shared" si="4"/>
        <v>0.99735570100358184</v>
      </c>
    </row>
    <row r="45" spans="1:26" x14ac:dyDescent="0.45">
      <c r="H45" t="str">
        <f t="shared" si="3"/>
        <v/>
      </c>
      <c r="I45" s="102" t="e">
        <f>IF(AND(ISNUMBER(Input!$C20),ISNUMBER(Input!$S20)),G19,NA())</f>
        <v>#N/A</v>
      </c>
      <c r="J45" s="94" t="str">
        <f>IF(OR(ISBLANK(Input!C20),COUNT(Input!H20:Q20)&lt;2),"",IF(Input!$J$32="Y",Input!S20-Input!C20,NA()))</f>
        <v/>
      </c>
      <c r="Y45" s="20">
        <v>9.9999999999999603E-2</v>
      </c>
      <c r="Z45" s="22">
        <f t="shared" si="4"/>
        <v>0.99238136869252958</v>
      </c>
    </row>
    <row r="46" spans="1:26" x14ac:dyDescent="0.45">
      <c r="H46" t="str">
        <f t="shared" si="3"/>
        <v/>
      </c>
      <c r="I46" s="102" t="e">
        <f>IF(AND(ISNUMBER(Input!$C21),ISNUMBER(Input!$S21)),G20,NA())</f>
        <v>#N/A</v>
      </c>
      <c r="J46" s="94" t="str">
        <f>IF(OR(ISBLANK(Input!C21),COUNT(Input!H21:Q21)&lt;2),"",IF(Input!$J$32="Y",Input!S21-Input!C21,NA()))</f>
        <v/>
      </c>
      <c r="Y46" s="20">
        <v>0.2</v>
      </c>
      <c r="Z46" s="22">
        <f t="shared" si="4"/>
        <v>0.97760673493863981</v>
      </c>
    </row>
    <row r="47" spans="1:26" x14ac:dyDescent="0.45">
      <c r="H47" t="str">
        <f t="shared" si="3"/>
        <v/>
      </c>
      <c r="I47" s="102" t="e">
        <f>IF(AND(ISNUMBER(Input!$C22),ISNUMBER(Input!$S22)),G21,NA())</f>
        <v>#N/A</v>
      </c>
      <c r="J47" s="94" t="str">
        <f>IF(OR(ISBLANK(Input!C22),COUNT(Input!H22:Q22)&lt;2),"",IF(Input!$J$32="Y",Input!S22-Input!C22,NA()))</f>
        <v/>
      </c>
      <c r="K47" s="81"/>
      <c r="Y47" s="20">
        <v>0.3</v>
      </c>
      <c r="Z47" s="22">
        <f t="shared" si="4"/>
        <v>0.95346953865131046</v>
      </c>
    </row>
    <row r="48" spans="1:26" x14ac:dyDescent="0.45">
      <c r="H48" t="str">
        <f t="shared" si="3"/>
        <v/>
      </c>
      <c r="I48" s="102" t="e">
        <f>IF(AND(ISNUMBER(Input!$C23),ISNUMBER(Input!$S23)),G22,NA())</f>
        <v>#N/A</v>
      </c>
      <c r="J48" s="94" t="str">
        <f>IF(OR(ISBLANK(Input!C23),COUNT(Input!H23:Q23)&lt;2),"",IF(Input!$J$32="Y",Input!S23-Input!C23,NA()))</f>
        <v/>
      </c>
      <c r="Y48" s="20">
        <v>0.4</v>
      </c>
      <c r="Z48" s="22">
        <f t="shared" si="4"/>
        <v>0.92067535075830842</v>
      </c>
    </row>
    <row r="49" spans="7:26" x14ac:dyDescent="0.45">
      <c r="H49" t="str">
        <f t="shared" si="3"/>
        <v/>
      </c>
      <c r="I49" s="102" t="e">
        <f>IF(AND(ISNUMBER(Input!$C24),ISNUMBER(Input!$S24)),G23,NA())</f>
        <v>#N/A</v>
      </c>
      <c r="J49" s="94" t="str">
        <f>IF(OR(ISBLANK(Input!C24),COUNT(Input!H24:Q24)&lt;2),"",IF(Input!$J$32="Y",Input!S24-Input!C24,NA()))</f>
        <v/>
      </c>
      <c r="Y49" s="20">
        <v>0.5</v>
      </c>
      <c r="Z49" s="22">
        <f t="shared" si="4"/>
        <v>0.88016331691074889</v>
      </c>
    </row>
    <row r="50" spans="7:26" x14ac:dyDescent="0.45">
      <c r="H50" t="str">
        <f t="shared" si="3"/>
        <v/>
      </c>
      <c r="I50" s="102" t="e">
        <f>IF(AND(ISNUMBER(Input!$C25),ISNUMBER(Input!$S25)),G24,NA())</f>
        <v>#N/A</v>
      </c>
      <c r="J50" s="94" t="str">
        <f>IF(OR(ISBLANK(Input!C25),COUNT(Input!H25:Q25)&lt;2),"",IF(Input!$J$32="Y",Input!S25-Input!C25,NA()))</f>
        <v/>
      </c>
      <c r="Y50" s="20">
        <v>0.6</v>
      </c>
      <c r="Z50" s="22">
        <f t="shared" si="4"/>
        <v>0.83306150722949923</v>
      </c>
    </row>
    <row r="51" spans="7:26" x14ac:dyDescent="0.45">
      <c r="H51" t="str">
        <f t="shared" si="3"/>
        <v/>
      </c>
      <c r="I51" s="102" t="e">
        <f>IF(AND(ISNUMBER(Input!$C26),ISNUMBER(Input!$S26)),G25,NA())</f>
        <v>#N/A</v>
      </c>
      <c r="J51" s="94" t="str">
        <f>IF(OR(ISBLANK(Input!C26),COUNT(Input!H26:Q26)&lt;2),"",IF(Input!$J$32="Y",Input!S26-Input!C26,NA()))</f>
        <v/>
      </c>
      <c r="Y51" s="20">
        <v>0.7</v>
      </c>
      <c r="Z51" s="22">
        <f t="shared" si="4"/>
        <v>0.78063483341690321</v>
      </c>
    </row>
    <row r="52" spans="7:26" x14ac:dyDescent="0.45">
      <c r="H52" t="str">
        <f t="shared" si="3"/>
        <v/>
      </c>
      <c r="I52" s="102" t="e">
        <f>IF(AND(ISNUMBER(Input!$C27),ISNUMBER(Input!$S27)),G26,NA())</f>
        <v>#N/A</v>
      </c>
      <c r="J52" s="94" t="str">
        <f>IF(OR(ISBLANK(Input!C27),COUNT(Input!H27:Q27)&lt;2),"",IF(Input!$J$32="Y",Input!S27-Input!C27,NA()))</f>
        <v/>
      </c>
      <c r="Y52" s="20">
        <v>0.8</v>
      </c>
      <c r="Z52" s="22">
        <f t="shared" si="4"/>
        <v>0.72422888190370682</v>
      </c>
    </row>
    <row r="53" spans="7:26" x14ac:dyDescent="0.45">
      <c r="H53" t="str">
        <f t="shared" si="3"/>
        <v/>
      </c>
      <c r="I53" s="102" t="e">
        <f>IF(AND(ISNUMBER(Input!$C28),ISNUMBER(Input!$S28)),G27,NA())</f>
        <v>#N/A</v>
      </c>
      <c r="J53" s="94" t="str">
        <f>IF(OR(ISBLANK(Input!C28),COUNT(Input!H28:Q28)&lt;2),"",IF(Input!$J$32="Y",Input!S28-Input!C28,NA()))</f>
        <v/>
      </c>
      <c r="Y53" s="20">
        <v>0.9</v>
      </c>
      <c r="Z53" s="22">
        <f t="shared" si="4"/>
        <v>0.6652131247468871</v>
      </c>
    </row>
    <row r="54" spans="7:26" x14ac:dyDescent="0.45">
      <c r="H54" t="str">
        <f t="shared" si="3"/>
        <v/>
      </c>
      <c r="I54" s="102" t="e">
        <f>IF(AND(ISNUMBER(Input!$C29),ISNUMBER(Input!$S29)),G28,NA())</f>
        <v>#N/A</v>
      </c>
      <c r="J54" s="94" t="str">
        <f>IF(OR(ISBLANK(Input!C29),COUNT(Input!H29:Q29)&lt;2),"",IF(Input!$J$32="Y",Input!S29-Input!C29,NA()))</f>
        <v/>
      </c>
      <c r="Y54" s="20">
        <v>1</v>
      </c>
      <c r="Z54" s="22">
        <f t="shared" si="4"/>
        <v>0.60492681129785841</v>
      </c>
    </row>
    <row r="55" spans="7:26" x14ac:dyDescent="0.45">
      <c r="G55" t="s">
        <v>54</v>
      </c>
      <c r="H55" t="e">
        <f>IF(Input!J34="Y",AVERAGE(H35:H54),NA())</f>
        <v>#DIV/0!</v>
      </c>
      <c r="J55" t="e">
        <f>AVERAGE(J35:J54)</f>
        <v>#DIV/0!</v>
      </c>
      <c r="Y55" s="20">
        <v>1.1000000000000001</v>
      </c>
      <c r="Z55" s="22">
        <f t="shared" si="4"/>
        <v>0.54463044258137638</v>
      </c>
    </row>
    <row r="56" spans="7:26" x14ac:dyDescent="0.45">
      <c r="G56" t="s">
        <v>53</v>
      </c>
      <c r="H56" t="e">
        <f>MEDIAN(H35:H54)</f>
        <v>#NUM!</v>
      </c>
      <c r="J56" t="e">
        <f>MEDIAN(J35:J54)</f>
        <v>#NUM!</v>
      </c>
      <c r="Y56" s="20">
        <v>1.2</v>
      </c>
      <c r="Z56" s="22">
        <f t="shared" si="4"/>
        <v>0.48546513745803244</v>
      </c>
    </row>
    <row r="57" spans="7:26" x14ac:dyDescent="0.45">
      <c r="Y57" s="20">
        <v>1.3</v>
      </c>
      <c r="Z57" s="22">
        <f t="shared" si="4"/>
        <v>0.42842148011951842</v>
      </c>
    </row>
    <row r="58" spans="7:26" x14ac:dyDescent="0.45">
      <c r="Y58" s="20">
        <v>1.4</v>
      </c>
      <c r="Z58" s="22">
        <f t="shared" si="4"/>
        <v>0.37431866408936221</v>
      </c>
    </row>
    <row r="59" spans="7:26" x14ac:dyDescent="0.45">
      <c r="Y59" s="20">
        <v>1.50000000000001</v>
      </c>
      <c r="Z59" s="22">
        <f t="shared" si="4"/>
        <v>0.32379398916472452</v>
      </c>
    </row>
    <row r="60" spans="7:26" x14ac:dyDescent="0.45">
      <c r="Y60" s="20">
        <v>1.6</v>
      </c>
      <c r="Z60" s="22">
        <f t="shared" si="4"/>
        <v>0.27730208669863887</v>
      </c>
    </row>
    <row r="61" spans="7:26" x14ac:dyDescent="0.45">
      <c r="Y61" s="20">
        <v>1.7</v>
      </c>
      <c r="Z61" s="22">
        <f t="shared" si="4"/>
        <v>0.2351226934422174</v>
      </c>
    </row>
    <row r="62" spans="7:26" x14ac:dyDescent="0.45">
      <c r="Y62" s="20">
        <v>1.80000000000001</v>
      </c>
      <c r="Z62" s="22">
        <f t="shared" si="4"/>
        <v>0.19737539575223184</v>
      </c>
    </row>
    <row r="63" spans="7:26" x14ac:dyDescent="0.45">
      <c r="Y63" s="20">
        <v>1.9000000000000099</v>
      </c>
      <c r="Z63" s="22">
        <f t="shared" si="4"/>
        <v>0.16403953693668841</v>
      </c>
    </row>
    <row r="64" spans="7:26" x14ac:dyDescent="0.45">
      <c r="Y64" s="20">
        <v>2.0000000000000102</v>
      </c>
      <c r="Z64" s="22">
        <f t="shared" si="4"/>
        <v>0.13497741628296739</v>
      </c>
    </row>
    <row r="65" spans="25:26" x14ac:dyDescent="0.45">
      <c r="Y65" s="20">
        <v>2.1</v>
      </c>
      <c r="Z65" s="22">
        <f t="shared" si="4"/>
        <v>0.109958989951068</v>
      </c>
    </row>
    <row r="66" spans="25:26" x14ac:dyDescent="0.45">
      <c r="Y66" s="20">
        <v>2.2000000000000099</v>
      </c>
      <c r="Z66" s="22">
        <f t="shared" si="4"/>
        <v>8.868648211557667E-2</v>
      </c>
    </row>
    <row r="67" spans="25:26" x14ac:dyDescent="0.45">
      <c r="Y67" s="20">
        <v>2.30000000000001</v>
      </c>
      <c r="Z67" s="22">
        <f t="shared" si="4"/>
        <v>7.0817594354001298E-2</v>
      </c>
    </row>
    <row r="68" spans="25:26" x14ac:dyDescent="0.45">
      <c r="Y68" s="20">
        <v>2.4000000000000101</v>
      </c>
      <c r="Z68" s="22">
        <f t="shared" ref="Z68:Z84" si="5">2.5*1/($Z$2*SQRT(PI()*2))*EXP(-((Y68-$Z$3)^2)/(2*$Z$2^2))</f>
        <v>5.5986325737105894E-2</v>
      </c>
    </row>
    <row r="69" spans="25:26" x14ac:dyDescent="0.45">
      <c r="Y69" s="20">
        <v>2.5000000000000102</v>
      </c>
      <c r="Z69" s="22">
        <f t="shared" si="5"/>
        <v>4.3820751233920215E-2</v>
      </c>
    </row>
    <row r="70" spans="25:26" x14ac:dyDescent="0.45">
      <c r="Y70" s="20">
        <v>2.6000000000000099</v>
      </c>
      <c r="Z70" s="22">
        <f t="shared" si="5"/>
        <v>3.3957423084213179E-2</v>
      </c>
    </row>
    <row r="71" spans="25:26" x14ac:dyDescent="0.45">
      <c r="Y71" s="20">
        <v>2.7000000000000099</v>
      </c>
      <c r="Z71" s="22">
        <f t="shared" si="5"/>
        <v>2.6052337036055799E-2</v>
      </c>
    </row>
    <row r="72" spans="25:26" x14ac:dyDescent="0.45">
      <c r="Y72" s="20">
        <v>2.80000000000001</v>
      </c>
      <c r="Z72" s="22">
        <f t="shared" si="5"/>
        <v>1.9788628957449358E-2</v>
      </c>
    </row>
    <row r="73" spans="25:26" x14ac:dyDescent="0.45">
      <c r="Y73" s="20">
        <v>2.9000000000000101</v>
      </c>
      <c r="Z73" s="22">
        <f t="shared" si="5"/>
        <v>1.48813310494392E-2</v>
      </c>
    </row>
    <row r="74" spans="25:26" x14ac:dyDescent="0.45">
      <c r="Y74" s="20">
        <v>3.0000000000000102</v>
      </c>
      <c r="Z74" s="22">
        <f t="shared" si="5"/>
        <v>1.1079621029844685E-2</v>
      </c>
    </row>
    <row r="75" spans="25:26" x14ac:dyDescent="0.45">
      <c r="Y75" s="20">
        <v>3.1000000000000099</v>
      </c>
      <c r="Z75" s="22">
        <f t="shared" si="5"/>
        <v>8.1670476404995512E-3</v>
      </c>
    </row>
    <row r="76" spans="25:26" x14ac:dyDescent="0.45">
      <c r="Y76" s="20">
        <v>3.2000000000000099</v>
      </c>
      <c r="Z76" s="22">
        <f t="shared" si="5"/>
        <v>5.9602205036619164E-3</v>
      </c>
    </row>
    <row r="77" spans="25:26" x14ac:dyDescent="0.45">
      <c r="Y77" s="20">
        <v>3.30000000000001</v>
      </c>
      <c r="Z77" s="22">
        <f t="shared" si="5"/>
        <v>4.3064223476340577E-3</v>
      </c>
    </row>
    <row r="78" spans="25:26" x14ac:dyDescent="0.45">
      <c r="Y78" s="20">
        <v>3.4000000000000101</v>
      </c>
      <c r="Z78" s="22">
        <f t="shared" si="5"/>
        <v>3.0805479211824431E-3</v>
      </c>
    </row>
    <row r="79" spans="25:26" x14ac:dyDescent="0.45">
      <c r="Y79" s="20">
        <v>3.5000000000000102</v>
      </c>
      <c r="Z79" s="22">
        <f t="shared" si="5"/>
        <v>2.1817067376143232E-3</v>
      </c>
    </row>
    <row r="80" spans="25:26" x14ac:dyDescent="0.45">
      <c r="Y80" s="20">
        <v>3.6000000000000099</v>
      </c>
      <c r="Z80" s="22">
        <f t="shared" si="5"/>
        <v>1.529754825284377E-3</v>
      </c>
    </row>
    <row r="81" spans="25:26" x14ac:dyDescent="0.45">
      <c r="Y81" s="20">
        <v>3.7000000000000099</v>
      </c>
      <c r="Z81" s="22">
        <f t="shared" si="5"/>
        <v>1.06195067637684E-3</v>
      </c>
    </row>
    <row r="82" spans="25:26" x14ac:dyDescent="0.45">
      <c r="Y82" s="20">
        <v>3.80000000000001</v>
      </c>
      <c r="Z82" s="22">
        <f t="shared" si="5"/>
        <v>7.2986731447862287E-4</v>
      </c>
    </row>
    <row r="83" spans="25:26" x14ac:dyDescent="0.45">
      <c r="Y83" s="20">
        <v>3.9000000000000101</v>
      </c>
      <c r="Z83" s="22">
        <f t="shared" si="5"/>
        <v>4.9663867848191191E-4</v>
      </c>
    </row>
    <row r="84" spans="25:26" x14ac:dyDescent="0.45">
      <c r="Y84" s="23">
        <v>4.0000000000000098</v>
      </c>
      <c r="Z84" s="25">
        <f t="shared" si="5"/>
        <v>3.3457556441220034E-4</v>
      </c>
    </row>
  </sheetData>
  <mergeCells count="6">
    <mergeCell ref="L35:N35"/>
    <mergeCell ref="G7:H7"/>
    <mergeCell ref="S7:T7"/>
    <mergeCell ref="U7:V7"/>
    <mergeCell ref="S29:T29"/>
    <mergeCell ref="U29:V2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Calc</vt:lpstr>
      <vt:lpstr>Input!Print_Area</vt:lpstr>
    </vt:vector>
  </TitlesOfParts>
  <Company>Karolinska Universitetslaboratoriet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ABK</dc:creator>
  <cp:lastModifiedBy>Edmund Wilkes</cp:lastModifiedBy>
  <cp:lastPrinted>2016-08-03T05:02:48Z</cp:lastPrinted>
  <dcterms:created xsi:type="dcterms:W3CDTF">2008-12-20T16:51:37Z</dcterms:created>
  <dcterms:modified xsi:type="dcterms:W3CDTF">2018-05-16T13:44:29Z</dcterms:modified>
</cp:coreProperties>
</file>