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workbookProtection workbookPassword="DD51" lockStructure="1"/>
  <bookViews>
    <workbookView xWindow="4425" yWindow="735" windowWidth="16050" windowHeight="11925"/>
  </bookViews>
  <sheets>
    <sheet name="Precision " sheetId="6" r:id="rId1"/>
    <sheet name="Comments" sheetId="8" r:id="rId2"/>
    <sheet name="P Calc" sheetId="7" state="hidden" r:id="rId3"/>
  </sheets>
  <definedNames>
    <definedName name="Mean_Bias" localSheetId="2">#REF!</definedName>
    <definedName name="Mean_Bias" localSheetId="0">#REF!</definedName>
    <definedName name="Mean_Bias">#REF!</definedName>
    <definedName name="_xlnm.Print_Area" localSheetId="0">'Precision '!$B$1:$AA$51</definedName>
  </definedNames>
  <calcPr calcId="145621"/>
</workbook>
</file>

<file path=xl/calcChain.xml><?xml version="1.0" encoding="utf-8"?>
<calcChain xmlns="http://schemas.openxmlformats.org/spreadsheetml/2006/main">
  <c r="AD9" i="6" l="1"/>
  <c r="AE9" i="6"/>
  <c r="I23" i="6" l="1"/>
  <c r="J23" i="6"/>
  <c r="K23" i="6"/>
  <c r="L23" i="6"/>
  <c r="M23" i="6"/>
  <c r="AF16" i="7" l="1"/>
  <c r="J47" i="6" l="1"/>
  <c r="U47" i="6"/>
  <c r="E20" i="6" l="1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D20" i="6"/>
  <c r="D22" i="6"/>
  <c r="AA13" i="6" l="1"/>
  <c r="Z13" i="6"/>
  <c r="J24" i="7"/>
  <c r="J25" i="7" s="1"/>
  <c r="I24" i="7"/>
  <c r="I25" i="7" s="1"/>
  <c r="S13" i="7"/>
  <c r="P57" i="6"/>
  <c r="P56" i="6"/>
  <c r="E57" i="6"/>
  <c r="E56" i="6"/>
  <c r="M72" i="7"/>
  <c r="N72" i="7" s="1"/>
  <c r="M73" i="7"/>
  <c r="N73" i="7" s="1"/>
  <c r="M68" i="7"/>
  <c r="D72" i="7"/>
  <c r="E72" i="7" s="1"/>
  <c r="D73" i="7"/>
  <c r="E73" i="7" s="1"/>
  <c r="D68" i="7"/>
  <c r="S47" i="6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D46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T46" i="7"/>
  <c r="U46" i="7"/>
  <c r="V46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D48" i="7"/>
  <c r="E48" i="7"/>
  <c r="F48" i="7"/>
  <c r="G48" i="7"/>
  <c r="H48" i="7"/>
  <c r="I48" i="7"/>
  <c r="J48" i="7"/>
  <c r="K48" i="7"/>
  <c r="L48" i="7"/>
  <c r="M48" i="7"/>
  <c r="N48" i="7"/>
  <c r="O48" i="7"/>
  <c r="P48" i="7"/>
  <c r="Q48" i="7"/>
  <c r="R48" i="7"/>
  <c r="S48" i="7"/>
  <c r="T48" i="7"/>
  <c r="U48" i="7"/>
  <c r="V48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C42" i="7"/>
  <c r="C43" i="7"/>
  <c r="C44" i="7"/>
  <c r="C45" i="7"/>
  <c r="C46" i="7"/>
  <c r="C47" i="7"/>
  <c r="C48" i="7"/>
  <c r="C49" i="7"/>
  <c r="C50" i="7"/>
  <c r="C41" i="7"/>
  <c r="O58" i="6"/>
  <c r="E58" i="6"/>
  <c r="D21" i="6"/>
  <c r="D23" i="6" s="1"/>
  <c r="E21" i="6"/>
  <c r="AI5" i="6" s="1"/>
  <c r="F21" i="6"/>
  <c r="AJ5" i="6" s="1"/>
  <c r="G21" i="6"/>
  <c r="AK5" i="6" s="1"/>
  <c r="H21" i="6"/>
  <c r="AL5" i="6" s="1"/>
  <c r="I21" i="6"/>
  <c r="M18" i="7" s="1"/>
  <c r="L18" i="7" s="1"/>
  <c r="J21" i="6"/>
  <c r="M19" i="7" s="1"/>
  <c r="L19" i="7" s="1"/>
  <c r="K21" i="6"/>
  <c r="M20" i="7" s="1"/>
  <c r="L20" i="7" s="1"/>
  <c r="L21" i="6"/>
  <c r="M21" i="7" s="1"/>
  <c r="L21" i="7" s="1"/>
  <c r="M21" i="6"/>
  <c r="M22" i="7" s="1"/>
  <c r="L22" i="7" s="1"/>
  <c r="N21" i="6"/>
  <c r="M23" i="7" s="1"/>
  <c r="L23" i="7" s="1"/>
  <c r="O21" i="6"/>
  <c r="P21" i="6"/>
  <c r="O3" i="7" s="1"/>
  <c r="Q21" i="6"/>
  <c r="M26" i="7" s="1"/>
  <c r="L26" i="7" s="1"/>
  <c r="R21" i="6"/>
  <c r="S21" i="6"/>
  <c r="M28" i="7" s="1"/>
  <c r="L28" i="7" s="1"/>
  <c r="T21" i="6"/>
  <c r="S3" i="7" s="1"/>
  <c r="U21" i="6"/>
  <c r="V21" i="6"/>
  <c r="M31" i="7" s="1"/>
  <c r="L31" i="7" s="1"/>
  <c r="W21" i="6"/>
  <c r="E25" i="6"/>
  <c r="F25" i="6"/>
  <c r="G25" i="6"/>
  <c r="H25" i="6"/>
  <c r="I25" i="6"/>
  <c r="H3" i="7" s="1"/>
  <c r="J25" i="6"/>
  <c r="K25" i="6"/>
  <c r="L25" i="6"/>
  <c r="M25" i="6"/>
  <c r="L3" i="7" s="1"/>
  <c r="N25" i="6"/>
  <c r="O25" i="6"/>
  <c r="P25" i="6"/>
  <c r="Q25" i="6"/>
  <c r="R25" i="6"/>
  <c r="S25" i="6"/>
  <c r="T25" i="6"/>
  <c r="U25" i="6"/>
  <c r="V25" i="6"/>
  <c r="W25" i="6"/>
  <c r="D25" i="6"/>
  <c r="AA1" i="7"/>
  <c r="AD6" i="7"/>
  <c r="AA2" i="7"/>
  <c r="C7" i="7"/>
  <c r="D7" i="7"/>
  <c r="E7" i="7"/>
  <c r="F7" i="7"/>
  <c r="G7" i="7"/>
  <c r="H7" i="7"/>
  <c r="H5" i="7" s="1"/>
  <c r="I7" i="7"/>
  <c r="J7" i="7"/>
  <c r="J5" i="7" s="1"/>
  <c r="K7" i="7"/>
  <c r="K5" i="7" s="1"/>
  <c r="L7" i="7"/>
  <c r="L5" i="7" s="1"/>
  <c r="M7" i="7"/>
  <c r="N7" i="7"/>
  <c r="P7" i="7"/>
  <c r="Q7" i="7"/>
  <c r="R7" i="7"/>
  <c r="S7" i="7"/>
  <c r="S5" i="7" s="1"/>
  <c r="T7" i="7"/>
  <c r="U7" i="7"/>
  <c r="V7" i="7"/>
  <c r="C9" i="7"/>
  <c r="D9" i="7"/>
  <c r="E9" i="7"/>
  <c r="F9" i="7"/>
  <c r="G9" i="7"/>
  <c r="H9" i="7"/>
  <c r="I9" i="7"/>
  <c r="J9" i="7"/>
  <c r="K9" i="7"/>
  <c r="L9" i="7"/>
  <c r="M9" i="7"/>
  <c r="N9" i="7"/>
  <c r="P9" i="7"/>
  <c r="Q9" i="7"/>
  <c r="R9" i="7"/>
  <c r="S9" i="7"/>
  <c r="T9" i="7"/>
  <c r="U9" i="7"/>
  <c r="V9" i="7"/>
  <c r="C12" i="7"/>
  <c r="D12" i="7"/>
  <c r="C14" i="7"/>
  <c r="C17" i="7" s="1"/>
  <c r="D14" i="7"/>
  <c r="D17" i="7" s="1"/>
  <c r="S14" i="7"/>
  <c r="A26" i="7"/>
  <c r="C26" i="7"/>
  <c r="D26" i="7"/>
  <c r="A27" i="7"/>
  <c r="A28" i="7"/>
  <c r="C28" i="7"/>
  <c r="C31" i="7" s="1"/>
  <c r="D28" i="7"/>
  <c r="D31" i="7" s="1"/>
  <c r="A29" i="7"/>
  <c r="A30" i="7"/>
  <c r="A32" i="7"/>
  <c r="X37" i="7"/>
  <c r="Z3" i="6"/>
  <c r="AA3" i="6"/>
  <c r="AA9" i="6" s="1"/>
  <c r="AC9" i="6"/>
  <c r="D24" i="6"/>
  <c r="C35" i="7" s="1"/>
  <c r="E22" i="6"/>
  <c r="E23" i="6" s="1"/>
  <c r="F22" i="6"/>
  <c r="F23" i="6" s="1"/>
  <c r="G22" i="6"/>
  <c r="H22" i="6"/>
  <c r="I22" i="6"/>
  <c r="J22" i="6"/>
  <c r="J24" i="6"/>
  <c r="K22" i="6"/>
  <c r="K24" i="6"/>
  <c r="L22" i="6"/>
  <c r="L24" i="6"/>
  <c r="K35" i="7" s="1"/>
  <c r="M22" i="6"/>
  <c r="N22" i="6"/>
  <c r="O22" i="6"/>
  <c r="D38" i="7" s="1"/>
  <c r="Q22" i="6"/>
  <c r="R22" i="6"/>
  <c r="S22" i="6"/>
  <c r="S23" i="6" s="1"/>
  <c r="T22" i="6"/>
  <c r="T23" i="6" s="1"/>
  <c r="U22" i="6"/>
  <c r="V22" i="6"/>
  <c r="W22" i="6"/>
  <c r="W24" i="6" s="1"/>
  <c r="AC18" i="6"/>
  <c r="Y28" i="6"/>
  <c r="Y34" i="6"/>
  <c r="Y36" i="6"/>
  <c r="Y37" i="6"/>
  <c r="Y38" i="6"/>
  <c r="S46" i="6"/>
  <c r="S48" i="6"/>
  <c r="M15" i="7"/>
  <c r="L15" i="7" s="1"/>
  <c r="P27" i="7"/>
  <c r="AE6" i="7"/>
  <c r="AB1" i="7"/>
  <c r="AB2" i="7"/>
  <c r="O7" i="7"/>
  <c r="O9" i="7"/>
  <c r="P22" i="6"/>
  <c r="Z5" i="6"/>
  <c r="AD5" i="6" s="1"/>
  <c r="AA5" i="6"/>
  <c r="AE5" i="6" s="1"/>
  <c r="P28" i="7"/>
  <c r="P31" i="7"/>
  <c r="J3" i="7"/>
  <c r="P32" i="7"/>
  <c r="I3" i="7"/>
  <c r="I5" i="7"/>
  <c r="P23" i="7"/>
  <c r="P24" i="7"/>
  <c r="P26" i="7"/>
  <c r="P30" i="7"/>
  <c r="P25" i="7"/>
  <c r="P29" i="7"/>
  <c r="I24" i="6"/>
  <c r="J35" i="7"/>
  <c r="I35" i="7"/>
  <c r="M24" i="6"/>
  <c r="L35" i="7" s="1"/>
  <c r="L38" i="7"/>
  <c r="T24" i="6"/>
  <c r="F3" i="7" l="1"/>
  <c r="F5" i="7" s="1"/>
  <c r="U3" i="7"/>
  <c r="V23" i="6"/>
  <c r="S24" i="6"/>
  <c r="U23" i="6"/>
  <c r="N24" i="6"/>
  <c r="N23" i="6"/>
  <c r="Q24" i="6"/>
  <c r="Q23" i="6"/>
  <c r="P24" i="6"/>
  <c r="P23" i="6"/>
  <c r="R24" i="6"/>
  <c r="R23" i="6"/>
  <c r="O24" i="6"/>
  <c r="O23" i="6"/>
  <c r="H24" i="6"/>
  <c r="G35" i="7" s="1"/>
  <c r="H23" i="6"/>
  <c r="L61" i="7"/>
  <c r="H61" i="7"/>
  <c r="D61" i="7"/>
  <c r="J60" i="7"/>
  <c r="F60" i="7"/>
  <c r="L59" i="7"/>
  <c r="H59" i="7"/>
  <c r="D59" i="7"/>
  <c r="J58" i="7"/>
  <c r="F58" i="7"/>
  <c r="L57" i="7"/>
  <c r="H57" i="7"/>
  <c r="D57" i="7"/>
  <c r="J56" i="7"/>
  <c r="F56" i="7"/>
  <c r="L55" i="7"/>
  <c r="H55" i="7"/>
  <c r="D55" i="7"/>
  <c r="J54" i="7"/>
  <c r="F54" i="7"/>
  <c r="L53" i="7"/>
  <c r="H53" i="7"/>
  <c r="D53" i="7"/>
  <c r="J52" i="7"/>
  <c r="F52" i="7"/>
  <c r="F61" i="7"/>
  <c r="L60" i="7"/>
  <c r="D60" i="7"/>
  <c r="F59" i="7"/>
  <c r="H58" i="7"/>
  <c r="J57" i="7"/>
  <c r="L56" i="7"/>
  <c r="D56" i="7"/>
  <c r="F55" i="7"/>
  <c r="L54" i="7"/>
  <c r="D54" i="7"/>
  <c r="F53" i="7"/>
  <c r="H52" i="7"/>
  <c r="I61" i="7"/>
  <c r="K60" i="7"/>
  <c r="C60" i="7"/>
  <c r="E59" i="7"/>
  <c r="G58" i="7"/>
  <c r="I57" i="7"/>
  <c r="K56" i="7"/>
  <c r="C56" i="7"/>
  <c r="E55" i="7"/>
  <c r="G54" i="7"/>
  <c r="I53" i="7"/>
  <c r="K52" i="7"/>
  <c r="C52" i="7"/>
  <c r="K61" i="7"/>
  <c r="G61" i="7"/>
  <c r="C61" i="7"/>
  <c r="I60" i="7"/>
  <c r="E60" i="7"/>
  <c r="K59" i="7"/>
  <c r="G59" i="7"/>
  <c r="C59" i="7"/>
  <c r="I58" i="7"/>
  <c r="E58" i="7"/>
  <c r="K57" i="7"/>
  <c r="G57" i="7"/>
  <c r="C57" i="7"/>
  <c r="I56" i="7"/>
  <c r="E56" i="7"/>
  <c r="K55" i="7"/>
  <c r="G55" i="7"/>
  <c r="C55" i="7"/>
  <c r="I54" i="7"/>
  <c r="E54" i="7"/>
  <c r="K53" i="7"/>
  <c r="G53" i="7"/>
  <c r="C53" i="7"/>
  <c r="I52" i="7"/>
  <c r="E52" i="7"/>
  <c r="J61" i="7"/>
  <c r="H60" i="7"/>
  <c r="J59" i="7"/>
  <c r="L58" i="7"/>
  <c r="D58" i="7"/>
  <c r="F57" i="7"/>
  <c r="H56" i="7"/>
  <c r="J55" i="7"/>
  <c r="H54" i="7"/>
  <c r="J53" i="7"/>
  <c r="L52" i="7"/>
  <c r="D52" i="7"/>
  <c r="E61" i="7"/>
  <c r="G60" i="7"/>
  <c r="I59" i="7"/>
  <c r="K58" i="7"/>
  <c r="C58" i="7"/>
  <c r="E57" i="7"/>
  <c r="G56" i="7"/>
  <c r="I55" i="7"/>
  <c r="K54" i="7"/>
  <c r="C54" i="7"/>
  <c r="E53" i="7"/>
  <c r="G52" i="7"/>
  <c r="G24" i="6"/>
  <c r="F35" i="7" s="1"/>
  <c r="G23" i="6"/>
  <c r="V3" i="7"/>
  <c r="V61" i="7"/>
  <c r="U61" i="7"/>
  <c r="T61" i="7"/>
  <c r="P61" i="7"/>
  <c r="T60" i="7"/>
  <c r="P60" i="7"/>
  <c r="T59" i="7"/>
  <c r="P59" i="7"/>
  <c r="T58" i="7"/>
  <c r="P58" i="7"/>
  <c r="T57" i="7"/>
  <c r="P57" i="7"/>
  <c r="T56" i="7"/>
  <c r="P56" i="7"/>
  <c r="T55" i="7"/>
  <c r="P55" i="7"/>
  <c r="T54" i="7"/>
  <c r="P54" i="7"/>
  <c r="T53" i="7"/>
  <c r="P53" i="7"/>
  <c r="T52" i="7"/>
  <c r="P52" i="7"/>
  <c r="R61" i="7"/>
  <c r="V60" i="7"/>
  <c r="R60" i="7"/>
  <c r="V59" i="7"/>
  <c r="N59" i="7"/>
  <c r="R58" i="7"/>
  <c r="N58" i="7"/>
  <c r="R57" i="7"/>
  <c r="V56" i="7"/>
  <c r="N56" i="7"/>
  <c r="R55" i="7"/>
  <c r="V54" i="7"/>
  <c r="N54" i="7"/>
  <c r="R53" i="7"/>
  <c r="N53" i="7"/>
  <c r="R52" i="7"/>
  <c r="Q61" i="7"/>
  <c r="U60" i="7"/>
  <c r="Q60" i="7"/>
  <c r="U59" i="7"/>
  <c r="Q59" i="7"/>
  <c r="U58" i="7"/>
  <c r="M58" i="7"/>
  <c r="Q57" i="7"/>
  <c r="U56" i="7"/>
  <c r="M56" i="7"/>
  <c r="U55" i="7"/>
  <c r="M55" i="7"/>
  <c r="Q54" i="7"/>
  <c r="U53" i="7"/>
  <c r="M53" i="7"/>
  <c r="Q52" i="7"/>
  <c r="S61" i="7"/>
  <c r="O61" i="7"/>
  <c r="S60" i="7"/>
  <c r="O60" i="7"/>
  <c r="S59" i="7"/>
  <c r="O59" i="7"/>
  <c r="S58" i="7"/>
  <c r="O58" i="7"/>
  <c r="S57" i="7"/>
  <c r="O57" i="7"/>
  <c r="S56" i="7"/>
  <c r="O56" i="7"/>
  <c r="S55" i="7"/>
  <c r="O55" i="7"/>
  <c r="S54" i="7"/>
  <c r="O54" i="7"/>
  <c r="S53" i="7"/>
  <c r="O53" i="7"/>
  <c r="S52" i="7"/>
  <c r="O52" i="7"/>
  <c r="N61" i="7"/>
  <c r="N60" i="7"/>
  <c r="R59" i="7"/>
  <c r="V58" i="7"/>
  <c r="V57" i="7"/>
  <c r="N57" i="7"/>
  <c r="R56" i="7"/>
  <c r="V55" i="7"/>
  <c r="N55" i="7"/>
  <c r="R54" i="7"/>
  <c r="V53" i="7"/>
  <c r="V52" i="7"/>
  <c r="N52" i="7"/>
  <c r="M61" i="7"/>
  <c r="M60" i="7"/>
  <c r="M59" i="7"/>
  <c r="Q58" i="7"/>
  <c r="U57" i="7"/>
  <c r="M57" i="7"/>
  <c r="Q56" i="7"/>
  <c r="Q55" i="7"/>
  <c r="U54" i="7"/>
  <c r="M54" i="7"/>
  <c r="Q53" i="7"/>
  <c r="U52" i="7"/>
  <c r="M52" i="7"/>
  <c r="W23" i="6"/>
  <c r="U24" i="6"/>
  <c r="V24" i="6"/>
  <c r="K38" i="7"/>
  <c r="I38" i="7"/>
  <c r="V5" i="7"/>
  <c r="J38" i="7"/>
  <c r="M27" i="7"/>
  <c r="L27" i="7" s="1"/>
  <c r="C3" i="7"/>
  <c r="C5" i="7" s="1"/>
  <c r="G3" i="7"/>
  <c r="AH5" i="6"/>
  <c r="AH6" i="6" s="1"/>
  <c r="M13" i="7"/>
  <c r="I26" i="7" s="1"/>
  <c r="U5" i="7"/>
  <c r="K3" i="7"/>
  <c r="Q26" i="7"/>
  <c r="H38" i="7"/>
  <c r="M17" i="7"/>
  <c r="L17" i="7" s="1"/>
  <c r="J26" i="7"/>
  <c r="M3" i="7"/>
  <c r="M5" i="7" s="1"/>
  <c r="P3" i="7"/>
  <c r="P5" i="7" s="1"/>
  <c r="AA10" i="6"/>
  <c r="O20" i="7"/>
  <c r="M14" i="7"/>
  <c r="L14" i="7" s="1"/>
  <c r="O16" i="7"/>
  <c r="M29" i="7"/>
  <c r="L29" i="7" s="1"/>
  <c r="G38" i="7"/>
  <c r="H35" i="7"/>
  <c r="X20" i="7"/>
  <c r="AE15" i="6"/>
  <c r="AA11" i="6"/>
  <c r="AG7" i="7" s="1"/>
  <c r="AE12" i="6" s="1"/>
  <c r="O15" i="7"/>
  <c r="Q28" i="7"/>
  <c r="R31" i="7"/>
  <c r="E3" i="7"/>
  <c r="E5" i="7" s="1"/>
  <c r="D67" i="7"/>
  <c r="D69" i="7" s="1"/>
  <c r="D71" i="7" s="1"/>
  <c r="Z40" i="6" s="1"/>
  <c r="R32" i="7"/>
  <c r="R27" i="7"/>
  <c r="R24" i="7"/>
  <c r="R29" i="7"/>
  <c r="Q24" i="7"/>
  <c r="R30" i="7"/>
  <c r="Q30" i="7"/>
  <c r="N3" i="7"/>
  <c r="N5" i="7" s="1"/>
  <c r="D25" i="7"/>
  <c r="M24" i="7"/>
  <c r="L24" i="7" s="1"/>
  <c r="O23" i="7"/>
  <c r="Z10" i="6"/>
  <c r="X24" i="7"/>
  <c r="Z12" i="6"/>
  <c r="X18" i="7"/>
  <c r="E24" i="6"/>
  <c r="D35" i="7" s="1"/>
  <c r="O18" i="7"/>
  <c r="O21" i="7"/>
  <c r="AA4" i="7"/>
  <c r="AA6" i="7" s="1"/>
  <c r="Z7" i="6" s="1"/>
  <c r="P20" i="7"/>
  <c r="R20" i="7" s="1"/>
  <c r="O14" i="7"/>
  <c r="P13" i="7"/>
  <c r="Q20" i="7" s="1"/>
  <c r="P14" i="7"/>
  <c r="R14" i="7" s="1"/>
  <c r="P18" i="7"/>
  <c r="R18" i="7" s="1"/>
  <c r="P16" i="7"/>
  <c r="R16" i="7" s="1"/>
  <c r="X17" i="7"/>
  <c r="Z9" i="6"/>
  <c r="AD15" i="6" s="1"/>
  <c r="O13" i="7"/>
  <c r="P19" i="7"/>
  <c r="R19" i="7" s="1"/>
  <c r="O22" i="7"/>
  <c r="P17" i="7"/>
  <c r="R17" i="7" s="1"/>
  <c r="AA3" i="7"/>
  <c r="AA8" i="7" s="1"/>
  <c r="X22" i="7"/>
  <c r="P15" i="7"/>
  <c r="R15" i="7" s="1"/>
  <c r="X23" i="7"/>
  <c r="C25" i="7"/>
  <c r="D3" i="7"/>
  <c r="D5" i="7" s="1"/>
  <c r="F24" i="6"/>
  <c r="E35" i="7" s="1"/>
  <c r="G5" i="7"/>
  <c r="P22" i="7"/>
  <c r="R22" i="7" s="1"/>
  <c r="X25" i="7"/>
  <c r="X19" i="7"/>
  <c r="X21" i="7"/>
  <c r="X26" i="7"/>
  <c r="O19" i="7"/>
  <c r="O17" i="7"/>
  <c r="P21" i="7"/>
  <c r="R21" i="7" s="1"/>
  <c r="M16" i="7"/>
  <c r="L16" i="7" s="1"/>
  <c r="X35" i="7"/>
  <c r="M32" i="7"/>
  <c r="L32" i="7" s="1"/>
  <c r="T3" i="7"/>
  <c r="T5" i="7" s="1"/>
  <c r="R25" i="7"/>
  <c r="Q27" i="7"/>
  <c r="Q23" i="7"/>
  <c r="R23" i="7"/>
  <c r="Q29" i="7"/>
  <c r="X28" i="7"/>
  <c r="M30" i="7"/>
  <c r="L30" i="7" s="1"/>
  <c r="O29" i="7"/>
  <c r="Q31" i="7"/>
  <c r="X27" i="7"/>
  <c r="M67" i="7"/>
  <c r="M69" i="7" s="1"/>
  <c r="M71" i="7" s="1"/>
  <c r="AA41" i="6" s="1"/>
  <c r="R28" i="7"/>
  <c r="Q32" i="7"/>
  <c r="R26" i="7"/>
  <c r="Q25" i="7"/>
  <c r="O28" i="7"/>
  <c r="R3" i="7"/>
  <c r="R5" i="7" s="1"/>
  <c r="X36" i="7"/>
  <c r="O5" i="7"/>
  <c r="O30" i="7"/>
  <c r="X29" i="7"/>
  <c r="O32" i="7"/>
  <c r="F38" i="7"/>
  <c r="O24" i="7"/>
  <c r="O31" i="7"/>
  <c r="AA12" i="6"/>
  <c r="O27" i="7"/>
  <c r="X33" i="7"/>
  <c r="E38" i="7"/>
  <c r="C38" i="7"/>
  <c r="Q3" i="7"/>
  <c r="Q5" i="7" s="1"/>
  <c r="X32" i="7"/>
  <c r="X30" i="7"/>
  <c r="AB4" i="7"/>
  <c r="AB6" i="7" s="1"/>
  <c r="O25" i="7"/>
  <c r="AB3" i="7"/>
  <c r="X31" i="7"/>
  <c r="O26" i="7"/>
  <c r="M25" i="7"/>
  <c r="L25" i="7" s="1"/>
  <c r="X34" i="7"/>
  <c r="Q17" i="7" l="1"/>
  <c r="L13" i="7"/>
  <c r="I27" i="7" s="1"/>
  <c r="Z34" i="6"/>
  <c r="C27" i="7" s="1"/>
  <c r="Z28" i="6"/>
  <c r="C13" i="7" s="1"/>
  <c r="AA34" i="6"/>
  <c r="D27" i="7" s="1"/>
  <c r="AA28" i="6"/>
  <c r="D13" i="7" s="1"/>
  <c r="AD11" i="6"/>
  <c r="AH7" i="6" s="1"/>
  <c r="AD13" i="6"/>
  <c r="AE11" i="6"/>
  <c r="AE13" i="6"/>
  <c r="AA7" i="7"/>
  <c r="Z8" i="6" s="1"/>
  <c r="F17" i="7" s="1"/>
  <c r="Z11" i="6"/>
  <c r="AE16" i="6"/>
  <c r="J28" i="7" s="1"/>
  <c r="J29" i="7" s="1"/>
  <c r="J27" i="7"/>
  <c r="AE17" i="6"/>
  <c r="AE4" i="7"/>
  <c r="AH4" i="7" s="1"/>
  <c r="AF3" i="6" s="1"/>
  <c r="AD4" i="7"/>
  <c r="AD12" i="7" s="1"/>
  <c r="Z41" i="6"/>
  <c r="Q19" i="7"/>
  <c r="Q16" i="7"/>
  <c r="Q21" i="7"/>
  <c r="R13" i="7"/>
  <c r="Q22" i="7"/>
  <c r="Q18" i="7"/>
  <c r="C20" i="6"/>
  <c r="Q14" i="7"/>
  <c r="Q13" i="7"/>
  <c r="Q15" i="7"/>
  <c r="AE3" i="6"/>
  <c r="AA5" i="7"/>
  <c r="C24" i="7" s="1"/>
  <c r="AB8" i="7"/>
  <c r="AB7" i="7" s="1"/>
  <c r="AB5" i="7"/>
  <c r="D24" i="7" s="1"/>
  <c r="AA40" i="6"/>
  <c r="AA7" i="6"/>
  <c r="AI3" i="6"/>
  <c r="Y22" i="7"/>
  <c r="Y20" i="7"/>
  <c r="Y23" i="7"/>
  <c r="Y26" i="7"/>
  <c r="Y21" i="7"/>
  <c r="Y17" i="7"/>
  <c r="Y25" i="7"/>
  <c r="Y19" i="7"/>
  <c r="Y18" i="7"/>
  <c r="Y24" i="7"/>
  <c r="AF17" i="7" l="1"/>
  <c r="AF18" i="7" s="1"/>
  <c r="AF19" i="7" s="1"/>
  <c r="AF7" i="7"/>
  <c r="AD12" i="6" s="1"/>
  <c r="AA10" i="7"/>
  <c r="AD16" i="6"/>
  <c r="I28" i="7" s="1"/>
  <c r="I29" i="7" s="1"/>
  <c r="AD17" i="6"/>
  <c r="I30" i="7" s="1"/>
  <c r="I31" i="7" s="1"/>
  <c r="AE18" i="6"/>
  <c r="J30" i="7"/>
  <c r="J31" i="7" s="1"/>
  <c r="C15" i="7"/>
  <c r="Z31" i="6" s="1"/>
  <c r="AE12" i="7"/>
  <c r="AE5" i="7"/>
  <c r="AH5" i="7" s="1"/>
  <c r="AA14" i="6" s="1"/>
  <c r="AD5" i="7"/>
  <c r="AG5" i="7" s="1"/>
  <c r="AB9" i="6" s="1"/>
  <c r="AG4" i="7"/>
  <c r="AB8" i="6" s="1"/>
  <c r="AA8" i="6"/>
  <c r="H17" i="7" s="1"/>
  <c r="D15" i="7" s="1"/>
  <c r="AA31" i="6" s="1"/>
  <c r="AB10" i="7"/>
  <c r="Y30" i="7"/>
  <c r="Y28" i="7"/>
  <c r="Y27" i="7"/>
  <c r="Y36" i="7"/>
  <c r="Y33" i="7"/>
  <c r="Y32" i="7"/>
  <c r="Y35" i="7"/>
  <c r="Y34" i="7"/>
  <c r="Y31" i="7"/>
  <c r="Y29" i="7"/>
  <c r="AH9" i="7" l="1"/>
  <c r="AA16" i="6" s="1"/>
  <c r="D20" i="7" s="1"/>
  <c r="D21" i="7" s="1"/>
  <c r="AD18" i="6"/>
  <c r="AF4" i="6"/>
  <c r="AG3" i="6" s="1"/>
  <c r="AB9" i="7" s="1"/>
  <c r="AH3" i="6" s="1"/>
  <c r="AC3" i="6"/>
  <c r="AA9" i="7" s="1"/>
  <c r="AD3" i="6" s="1"/>
  <c r="Z14" i="6"/>
  <c r="Z17" i="6" s="1"/>
  <c r="AG9" i="7"/>
  <c r="Z16" i="6" s="1"/>
  <c r="Z19" i="6" s="1"/>
  <c r="Z15" i="6"/>
  <c r="Z18" i="6" s="1"/>
  <c r="Z21" i="6" s="1"/>
  <c r="AA15" i="6"/>
  <c r="AA18" i="6" s="1"/>
  <c r="AA21" i="6" s="1"/>
  <c r="AA17" i="6"/>
  <c r="AA19" i="6" l="1"/>
  <c r="Z33" i="7" s="1"/>
  <c r="C20" i="7"/>
  <c r="C21" i="7" s="1"/>
  <c r="D22" i="7"/>
  <c r="D23" i="7" s="1"/>
  <c r="Z22" i="6"/>
  <c r="AA18" i="7"/>
  <c r="Z25" i="7"/>
  <c r="AA21" i="7"/>
  <c r="AA23" i="7"/>
  <c r="Z22" i="7"/>
  <c r="Z17" i="7"/>
  <c r="Z18" i="7"/>
  <c r="AA25" i="7"/>
  <c r="Z21" i="7"/>
  <c r="Z23" i="7"/>
  <c r="AA22" i="7"/>
  <c r="AA24" i="7"/>
  <c r="Z19" i="7"/>
  <c r="AA17" i="7"/>
  <c r="Z26" i="7"/>
  <c r="Z20" i="7"/>
  <c r="Z24" i="7"/>
  <c r="AA19" i="7"/>
  <c r="AA26" i="7"/>
  <c r="AA20" i="7"/>
  <c r="AA22" i="6"/>
  <c r="C18" i="7"/>
  <c r="Z20" i="6"/>
  <c r="Z32" i="6"/>
  <c r="D18" i="7"/>
  <c r="AA32" i="6"/>
  <c r="AA20" i="6"/>
  <c r="Z29" i="7" l="1"/>
  <c r="AA32" i="7"/>
  <c r="Z36" i="7"/>
  <c r="Z31" i="7"/>
  <c r="AA28" i="7"/>
  <c r="AA33" i="7"/>
  <c r="Z34" i="7"/>
  <c r="Z32" i="7"/>
  <c r="AA31" i="7"/>
  <c r="AA36" i="7"/>
  <c r="Z28" i="7"/>
  <c r="Z27" i="7"/>
  <c r="AA30" i="7"/>
  <c r="AA35" i="7"/>
  <c r="Z35" i="7"/>
  <c r="Z30" i="7"/>
  <c r="AA27" i="7"/>
  <c r="AA34" i="7"/>
  <c r="AA29" i="7"/>
  <c r="C22" i="7"/>
  <c r="C23" i="7" s="1"/>
  <c r="F31" i="7" s="1"/>
  <c r="C29" i="7" s="1"/>
  <c r="G23" i="7"/>
  <c r="H31" i="7"/>
  <c r="D29" i="7" s="1"/>
  <c r="AA37" i="6" s="1"/>
  <c r="E23" i="7" l="1"/>
  <c r="Z37" i="6"/>
  <c r="C32" i="7"/>
  <c r="Z38" i="6"/>
  <c r="D32" i="7"/>
  <c r="AA38" i="6"/>
</calcChain>
</file>

<file path=xl/comments1.xml><?xml version="1.0" encoding="utf-8"?>
<comments xmlns="http://schemas.openxmlformats.org/spreadsheetml/2006/main">
  <authors>
    <author>andkal</author>
    <author>Anders</author>
    <author>Anders Kallner</author>
  </authors>
  <commentList>
    <comment ref="D7" authorId="0">
      <text>
        <r>
          <rPr>
            <b/>
            <sz val="10"/>
            <color indexed="81"/>
            <rFont val="Tahoma"/>
            <family val="2"/>
          </rPr>
          <t>Enter the name of the component here. If empty, no calculatons will be performed</t>
        </r>
      </text>
    </comment>
    <comment ref="N7" authorId="0">
      <text>
        <r>
          <rPr>
            <b/>
            <sz val="12"/>
            <color indexed="81"/>
            <rFont val="Tahoma"/>
            <family val="2"/>
          </rPr>
          <t>Enter the name of the component here. If empty, no calculatons will be performed</t>
        </r>
      </text>
    </comment>
    <comment ref="Z15" authorId="1">
      <text>
        <r>
          <rPr>
            <sz val="12"/>
            <color indexed="81"/>
            <rFont val="Times New Roman"/>
            <family val="1"/>
          </rPr>
          <t>If  MSwith &gt;MSbet then the MSbet  is shown in brackets and the intermediate variance set to 0.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A18" authorId="0">
      <text>
        <r>
          <rPr>
            <b/>
            <sz val="12"/>
            <color indexed="81"/>
            <rFont val="Tahoma"/>
            <family val="2"/>
          </rPr>
          <t>If repeatability variance &gt;Intermediate variance then the latter is set to zero. Actual value shown in brackets.</t>
        </r>
      </text>
    </comment>
    <comment ref="Z30" authorId="2">
      <text>
        <r>
          <rPr>
            <sz val="10"/>
            <color indexed="81"/>
            <rFont val="Tahoma"/>
            <family val="2"/>
          </rPr>
          <t>Defaults is 5 %</t>
        </r>
      </text>
    </comment>
    <comment ref="I46" authorId="2">
      <text>
        <r>
          <rPr>
            <sz val="12"/>
            <color indexed="81"/>
            <rFont val="Tahoma"/>
            <family val="2"/>
          </rPr>
          <t>Display of graphs are swapped by Y or N</t>
        </r>
      </text>
    </comment>
  </commentList>
</comments>
</file>

<file path=xl/comments2.xml><?xml version="1.0" encoding="utf-8"?>
<comments xmlns="http://schemas.openxmlformats.org/spreadsheetml/2006/main">
  <authors>
    <author>Anders Kallner</author>
    <author>andkal</author>
  </authors>
  <commentList>
    <comment ref="AG4" authorId="0">
      <text>
        <r>
          <rPr>
            <b/>
            <sz val="10"/>
            <color indexed="81"/>
            <rFont val="Tahoma"/>
            <family val="2"/>
          </rPr>
          <t xml:space="preserve">(df between-1)*variance of group means, alt SSbet/(number of groups -1)
</t>
        </r>
      </text>
    </comment>
    <comment ref="A5" authorId="1">
      <text>
        <r>
          <rPr>
            <b/>
            <sz val="8"/>
            <color indexed="81"/>
            <rFont val="Tahoma"/>
            <family val="2"/>
          </rPr>
          <t>Miller 5th p60:</t>
        </r>
      </text>
    </comment>
    <comment ref="AA5" authorId="0">
      <text>
        <r>
          <rPr>
            <b/>
            <sz val="8"/>
            <color indexed="81"/>
            <rFont val="Tahoma"/>
            <family val="2"/>
          </rPr>
          <t>Aronsson et al. SJCLI 1978;38:53-62. Harmoniskt medeltal n0=(N^2-sumsq(ni))/(N*(t-1))</t>
        </r>
      </text>
    </comment>
    <comment ref="AF7" authorId="0">
      <text>
        <r>
          <rPr>
            <b/>
            <sz val="12"/>
            <color indexed="81"/>
            <rFont val="Tahoma"/>
            <family val="2"/>
          </rPr>
          <t>Help algorithm to blank cell if test name  is not entered</t>
        </r>
      </text>
    </comment>
    <comment ref="S13" authorId="0">
      <text>
        <r>
          <rPr>
            <b/>
            <sz val="8"/>
            <color indexed="81"/>
            <rFont val="Tahoma"/>
            <family val="2"/>
          </rPr>
          <t>Don't remove! Esential for logics</t>
        </r>
      </text>
    </comment>
    <comment ref="E23" authorId="0">
      <text>
        <r>
          <rPr>
            <b/>
            <sz val="8"/>
            <color indexed="81"/>
            <rFont val="Tahoma"/>
            <family val="2"/>
          </rPr>
          <t>Rounded T. EP15 uses rounded value, we the calculated</t>
        </r>
      </text>
    </comment>
    <comment ref="G23" authorId="0">
      <text>
        <r>
          <rPr>
            <b/>
            <sz val="8"/>
            <color indexed="81"/>
            <rFont val="Tahoma"/>
            <family val="2"/>
          </rPr>
          <t>Rounded T</t>
        </r>
      </text>
    </comment>
  </commentList>
</comments>
</file>

<file path=xl/sharedStrings.xml><?xml version="1.0" encoding="utf-8"?>
<sst xmlns="http://schemas.openxmlformats.org/spreadsheetml/2006/main" count="214" uniqueCount="168">
  <si>
    <t>Number of obs:</t>
  </si>
  <si>
    <t>Mean:</t>
  </si>
  <si>
    <t>Conclusion:</t>
  </si>
  <si>
    <t>1A</t>
  </si>
  <si>
    <t>2A</t>
  </si>
  <si>
    <t>3A</t>
  </si>
  <si>
    <t>4A</t>
  </si>
  <si>
    <t>5A</t>
  </si>
  <si>
    <t>6A</t>
  </si>
  <si>
    <t>7A</t>
  </si>
  <si>
    <t>1 B</t>
  </si>
  <si>
    <t>2 B</t>
  </si>
  <si>
    <t xml:space="preserve"> 3 B</t>
  </si>
  <si>
    <t>4 B</t>
  </si>
  <si>
    <t>5 B</t>
  </si>
  <si>
    <t>6 B</t>
  </si>
  <si>
    <t>7 B</t>
  </si>
  <si>
    <t>Replicate</t>
  </si>
  <si>
    <t>MS</t>
  </si>
  <si>
    <t>F-value</t>
  </si>
  <si>
    <t>p-value</t>
  </si>
  <si>
    <t>(p=0,05)</t>
  </si>
  <si>
    <t>Number of observations:</t>
  </si>
  <si>
    <t>SEM:</t>
  </si>
  <si>
    <t>Bias:</t>
  </si>
  <si>
    <t>Group mean:</t>
  </si>
  <si>
    <t>z-score:</t>
  </si>
  <si>
    <t>SD:</t>
  </si>
  <si>
    <t>High ver value:</t>
  </si>
  <si>
    <t>Number obs:</t>
  </si>
  <si>
    <t>Low ver value:</t>
  </si>
  <si>
    <t xml:space="preserve">Uncertainty may be enterd as CV% or SD, however, </t>
  </si>
  <si>
    <t>Claimed repeatability (SD):</t>
  </si>
  <si>
    <t>Claimed repeatability (CV%):</t>
  </si>
  <si>
    <t>False rejection rate  (%):</t>
  </si>
  <si>
    <t>Verification value:</t>
  </si>
  <si>
    <t>1B</t>
  </si>
  <si>
    <t>2B</t>
  </si>
  <si>
    <t>3B</t>
  </si>
  <si>
    <t>4B</t>
  </si>
  <si>
    <t>5B</t>
  </si>
  <si>
    <t>6B</t>
  </si>
  <si>
    <t>7B</t>
  </si>
  <si>
    <t>Mean</t>
  </si>
  <si>
    <t>SD</t>
  </si>
  <si>
    <t>Mean of groups</t>
  </si>
  <si>
    <t>Number of groups:</t>
  </si>
  <si>
    <t>Mean number of obs in groups:</t>
  </si>
  <si>
    <t>df between</t>
  </si>
  <si>
    <t>Total</t>
  </si>
  <si>
    <t>Number of obs/group</t>
  </si>
  <si>
    <t>df within</t>
  </si>
  <si>
    <t>F-dist:</t>
  </si>
  <si>
    <t>F-crit(0,05)</t>
  </si>
  <si>
    <t>Calc of verification value</t>
  </si>
  <si>
    <t>A</t>
  </si>
  <si>
    <t>B</t>
  </si>
  <si>
    <t>Graphs</t>
  </si>
  <si>
    <t>Manuf. claimed within CV%:</t>
  </si>
  <si>
    <t>X for obs</t>
  </si>
  <si>
    <t>X for target</t>
  </si>
  <si>
    <t>Target mean</t>
  </si>
  <si>
    <t>Target-2sd</t>
  </si>
  <si>
    <t>Manuf. claimed within SD:</t>
  </si>
  <si>
    <t>Level' (2, 3 or 4):</t>
  </si>
  <si>
    <t>x for found</t>
  </si>
  <si>
    <t>Found mean</t>
  </si>
  <si>
    <t>Found -2sd</t>
  </si>
  <si>
    <t>C:</t>
  </si>
  <si>
    <t>Evaluation</t>
  </si>
  <si>
    <t>Review !!</t>
  </si>
  <si>
    <t>Accept</t>
  </si>
  <si>
    <t>B:</t>
  </si>
  <si>
    <t>T (denominator):</t>
  </si>
  <si>
    <t>T</t>
  </si>
  <si>
    <t>Number of replicates</t>
  </si>
  <si>
    <t>Number of days:</t>
  </si>
  <si>
    <t>Between group df:</t>
  </si>
  <si>
    <t xml:space="preserve">Within group df: </t>
  </si>
  <si>
    <t>Component 1</t>
  </si>
  <si>
    <t>Component 2</t>
  </si>
  <si>
    <t xml:space="preserve">The scale of the Y-axis is 'automatic' by default but can be adjusted individually via 'Format axis' and 'Scale'. </t>
  </si>
  <si>
    <t>It is usually sufficient to adjust the 'minimum level'.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</si>
  <si>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</si>
  <si>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</si>
  <si>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</si>
  <si>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</si>
  <si>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</si>
  <si>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</si>
  <si>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</si>
  <si>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</si>
  <si>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</si>
  <si>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</si>
  <si>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Intralaboratory variance:</t>
  </si>
  <si>
    <t>Intralaboratory imprecision(SD):</t>
  </si>
  <si>
    <t>8A</t>
  </si>
  <si>
    <t>9A</t>
  </si>
  <si>
    <t>10A</t>
  </si>
  <si>
    <t>8B</t>
  </si>
  <si>
    <t>9B</t>
  </si>
  <si>
    <t>10B</t>
  </si>
  <si>
    <r>
      <t>SS</t>
    </r>
    <r>
      <rPr>
        <vertAlign val="subscript"/>
        <sz val="10"/>
        <rFont val="Arial"/>
        <family val="2"/>
      </rPr>
      <t>bet</t>
    </r>
    <r>
      <rPr>
        <sz val="10"/>
        <rFont val="Arial"/>
        <family val="2"/>
      </rPr>
      <t>:</t>
    </r>
  </si>
  <si>
    <r>
      <t>MS</t>
    </r>
    <r>
      <rPr>
        <vertAlign val="subscript"/>
        <sz val="10"/>
        <rFont val="Arial"/>
        <family val="2"/>
      </rPr>
      <t>bet</t>
    </r>
    <r>
      <rPr>
        <sz val="10"/>
        <rFont val="Arial"/>
        <family val="2"/>
      </rPr>
      <t>:</t>
    </r>
  </si>
  <si>
    <r>
      <t>SS</t>
    </r>
    <r>
      <rPr>
        <vertAlign val="subscript"/>
        <sz val="10"/>
        <rFont val="Arial"/>
        <family val="2"/>
      </rPr>
      <t>with</t>
    </r>
    <r>
      <rPr>
        <sz val="10"/>
        <rFont val="Arial"/>
        <family val="2"/>
      </rPr>
      <t>:</t>
    </r>
  </si>
  <si>
    <r>
      <t>MS</t>
    </r>
    <r>
      <rPr>
        <vertAlign val="subscript"/>
        <sz val="10"/>
        <rFont val="Arial"/>
        <family val="2"/>
      </rPr>
      <t>with</t>
    </r>
    <r>
      <rPr>
        <sz val="10"/>
        <rFont val="Arial"/>
        <family val="2"/>
      </rPr>
      <t>:</t>
    </r>
  </si>
  <si>
    <t xml:space="preserve">group sum </t>
  </si>
  <si>
    <t>Display target means (Y/N):</t>
  </si>
  <si>
    <t>If MSb&lt;MSw:</t>
  </si>
  <si>
    <t>© Anders Kallner, Dept Clin Chem, Karolinska hospital,</t>
  </si>
  <si>
    <t xml:space="preserve">Default values of rejection rate is set to 5 % . </t>
  </si>
  <si>
    <t>SD, if present, takes precedence over CV%</t>
  </si>
  <si>
    <t>Operator:</t>
  </si>
  <si>
    <t>Reagents:</t>
  </si>
  <si>
    <t xml:space="preserve">Calibrator: </t>
  </si>
  <si>
    <t>Date(s):</t>
  </si>
  <si>
    <t>Instrument:</t>
  </si>
  <si>
    <t>Comments:</t>
  </si>
  <si>
    <t>Comp1</t>
  </si>
  <si>
    <t>Comp2</t>
  </si>
  <si>
    <t>DATE</t>
  </si>
  <si>
    <t>SEM</t>
  </si>
  <si>
    <t>conc 1</t>
  </si>
  <si>
    <t>conc 2</t>
  </si>
  <si>
    <t>±</t>
  </si>
  <si>
    <t>Target±2sd</t>
  </si>
  <si>
    <t>Found ±2sd</t>
  </si>
  <si>
    <t>Y</t>
  </si>
  <si>
    <t>N</t>
  </si>
  <si>
    <t>SE</t>
  </si>
  <si>
    <t>Group (day, run or instrument)</t>
  </si>
  <si>
    <t>Display SEM (SE), SD (SD) or none (N)?</t>
  </si>
  <si>
    <t>Display overall mean ± 2 SD  (Y/N)?</t>
  </si>
  <si>
    <t>Imprecision by analysis of variance components (ANOVA)</t>
  </si>
  <si>
    <t>number:</t>
  </si>
  <si>
    <t>tcrit:</t>
  </si>
  <si>
    <t>G-crit</t>
  </si>
  <si>
    <t>alfa</t>
  </si>
  <si>
    <t>Critical Grubbs value (1/5)</t>
  </si>
  <si>
    <t>Upper outlier</t>
  </si>
  <si>
    <t>Lower outlier</t>
  </si>
  <si>
    <t>Max:</t>
  </si>
  <si>
    <t>Min:</t>
  </si>
  <si>
    <t>Grubbs</t>
  </si>
  <si>
    <r>
      <t>t-value (</t>
    </r>
    <r>
      <rPr>
        <i/>
        <sz val="11"/>
        <color indexed="10"/>
        <rFont val="Arial"/>
        <family val="2"/>
      </rPr>
      <t>k</t>
    </r>
    <r>
      <rPr>
        <sz val="11"/>
        <color indexed="10"/>
        <rFont val="Arial"/>
        <family val="2"/>
      </rPr>
      <t>):</t>
    </r>
  </si>
  <si>
    <t>Target  value:</t>
  </si>
  <si>
    <t>Claimed intra-lab (SD):</t>
  </si>
  <si>
    <t xml:space="preserve">Bias </t>
  </si>
  <si>
    <t>T (numerator):</t>
  </si>
  <si>
    <t>Average of average of series</t>
  </si>
  <si>
    <t>Average of series' SD</t>
  </si>
  <si>
    <t xml:space="preserve"> SE 171 76 Stockholm, SWEDEN,  anders.kallner@ki.se</t>
  </si>
  <si>
    <t>Hide individual observations (Y/N):</t>
  </si>
  <si>
    <t>Licenced to ACB 2018</t>
  </si>
  <si>
    <t>Between series variance:</t>
  </si>
  <si>
    <t>Within series variance:</t>
  </si>
  <si>
    <t>Between series rel. imprecision (%CV):</t>
  </si>
  <si>
    <t>Within series imprecision s(X):</t>
  </si>
  <si>
    <t>Between series imprecision s(X):</t>
  </si>
  <si>
    <t>Intralaboratory imprecision (%CV):</t>
  </si>
  <si>
    <t>%CV:</t>
  </si>
  <si>
    <t>False rejection rate  (α %):</t>
  </si>
  <si>
    <t>Claimed intralab (%CV):</t>
  </si>
  <si>
    <t>Within series rel imprecision (%CV):</t>
  </si>
  <si>
    <r>
      <t>u</t>
    </r>
    <r>
      <rPr>
        <vertAlign val="subscript"/>
        <sz val="11"/>
        <color indexed="12"/>
        <rFont val="Arial"/>
        <family val="2"/>
      </rPr>
      <t xml:space="preserve">target </t>
    </r>
    <r>
      <rPr>
        <sz val="11"/>
        <color indexed="12"/>
        <rFont val="Arial"/>
        <family val="2"/>
      </rPr>
      <t>(SEM):</t>
    </r>
  </si>
  <si>
    <r>
      <t>u</t>
    </r>
    <r>
      <rPr>
        <vertAlign val="subscript"/>
        <sz val="11"/>
        <color indexed="12"/>
        <rFont val="Arial"/>
        <family val="2"/>
      </rPr>
      <t xml:space="preserve">target </t>
    </r>
    <r>
      <rPr>
        <sz val="11"/>
        <color indexed="12"/>
        <rFont val="Arial"/>
        <family val="2"/>
      </rPr>
      <t>(%CV):</t>
    </r>
  </si>
  <si>
    <r>
      <t>u</t>
    </r>
    <r>
      <rPr>
        <vertAlign val="subscript"/>
        <sz val="11"/>
        <color indexed="10"/>
        <rFont val="Arial"/>
        <family val="2"/>
      </rPr>
      <t>bias</t>
    </r>
    <r>
      <rPr>
        <sz val="11"/>
        <color indexed="10"/>
        <rFont val="Arial"/>
        <family val="2"/>
      </rPr>
      <t>:</t>
    </r>
  </si>
  <si>
    <r>
      <t>a</t>
    </r>
    <r>
      <rPr>
        <sz val="11"/>
        <color indexed="12"/>
        <rFont val="Arial"/>
        <family val="2"/>
      </rPr>
      <t xml:space="preserve"> %</t>
    </r>
  </si>
  <si>
    <t>Version 8.5; 19-04-09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</si>
</sst>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00"/>
    <numFmt numFmtId="166" formatCode="0.0"/>
    <numFmt numFmtId="167" formatCode="0.000000"/>
    <numFmt numFmtId="168" formatCode="0.00000"/>
    <numFmt numFmtId="169" formatCode="0.0000000000"/>
  </numFmts>
  <fonts count="5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8"/>
      <color indexed="81"/>
      <name val="Tahoma"/>
      <family val="2"/>
    </font>
    <font>
      <i/>
      <sz val="10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vertAlign val="subscript"/>
      <sz val="10"/>
      <name val="Arial"/>
      <family val="2"/>
    </font>
    <font>
      <b/>
      <sz val="10"/>
      <color indexed="21"/>
      <name val="Arial"/>
      <family val="2"/>
    </font>
    <font>
      <sz val="10"/>
      <color indexed="41"/>
      <name val="Arial"/>
      <family val="2"/>
    </font>
    <font>
      <b/>
      <sz val="14"/>
      <color indexed="10"/>
      <name val="Arial"/>
      <family val="2"/>
    </font>
    <font>
      <b/>
      <sz val="10"/>
      <color indexed="81"/>
      <name val="Tahoma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0"/>
      <color indexed="81"/>
      <name val="Tahoma"/>
      <family val="2"/>
    </font>
    <font>
      <sz val="10"/>
      <color indexed="27"/>
      <name val="Arial"/>
      <family val="2"/>
    </font>
    <font>
      <b/>
      <sz val="12"/>
      <color indexed="81"/>
      <name val="Tahoma"/>
      <family val="2"/>
    </font>
    <font>
      <sz val="12"/>
      <color indexed="10"/>
      <name val="Arial"/>
      <family val="2"/>
    </font>
    <font>
      <sz val="12"/>
      <color indexed="81"/>
      <name val="Tahoma"/>
      <family val="2"/>
    </font>
    <font>
      <sz val="12"/>
      <color indexed="81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sz val="11"/>
      <color indexed="10"/>
      <name val="Arial"/>
      <family val="2"/>
    </font>
    <font>
      <i/>
      <sz val="11"/>
      <color indexed="10"/>
      <name val="Arial"/>
      <family val="2"/>
    </font>
    <font>
      <b/>
      <sz val="14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rgb="FFCCFFFF"/>
      <name val="Arial"/>
      <family val="2"/>
    </font>
    <font>
      <sz val="10"/>
      <color rgb="FFFF0000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  <font>
      <b/>
      <sz val="11"/>
      <color rgb="FF0000FF"/>
      <name val="Arial"/>
      <family val="2"/>
    </font>
    <font>
      <i/>
      <sz val="10"/>
      <color rgb="FFFF0000"/>
      <name val="Arial"/>
      <family val="2"/>
    </font>
    <font>
      <sz val="11"/>
      <color rgb="FFFF0000"/>
      <name val="Arial"/>
      <family val="2"/>
    </font>
    <font>
      <i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0"/>
      <color rgb="FFCCFFFF"/>
      <name val="Arial"/>
      <family val="2"/>
    </font>
    <font>
      <sz val="11"/>
      <color rgb="FFFF8181"/>
      <name val="Arial"/>
      <family val="2"/>
    </font>
    <font>
      <sz val="12"/>
      <color rgb="FFFF8181"/>
      <name val="Arial"/>
      <family val="2"/>
    </font>
    <font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color indexed="57"/>
      <name val="Arial"/>
      <family val="2"/>
    </font>
    <font>
      <b/>
      <sz val="12"/>
      <color rgb="FFF204B4"/>
      <name val="Arial"/>
      <family val="2"/>
    </font>
    <font>
      <b/>
      <sz val="12"/>
      <color rgb="FF920049"/>
      <name val="Arial"/>
      <family val="2"/>
    </font>
    <font>
      <i/>
      <sz val="11"/>
      <color rgb="FF0000FF"/>
      <name val="Arial"/>
      <family val="2"/>
    </font>
    <font>
      <vertAlign val="subscript"/>
      <sz val="11"/>
      <color indexed="12"/>
      <name val="Arial"/>
      <family val="2"/>
    </font>
    <font>
      <sz val="11"/>
      <color indexed="12"/>
      <name val="Arial"/>
      <family val="2"/>
    </font>
    <font>
      <i/>
      <sz val="11"/>
      <color rgb="FFFF0000"/>
      <name val="Arial"/>
      <family val="2"/>
    </font>
    <font>
      <vertAlign val="subscript"/>
      <sz val="11"/>
      <color indexed="10"/>
      <name val="Arial"/>
      <family val="2"/>
    </font>
    <font>
      <sz val="11"/>
      <color rgb="FF0000FF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7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12"/>
      </bottom>
      <diagonal/>
    </border>
    <border>
      <left style="thin">
        <color indexed="10"/>
      </left>
      <right/>
      <top/>
      <bottom style="thin">
        <color indexed="12"/>
      </bottom>
      <diagonal/>
    </border>
    <border>
      <left style="double">
        <color indexed="10"/>
      </left>
      <right/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double">
        <color indexed="10"/>
      </left>
      <right/>
      <top/>
      <bottom style="thin">
        <color indexed="10"/>
      </bottom>
      <diagonal/>
    </border>
    <border>
      <left/>
      <right style="double">
        <color indexed="10"/>
      </right>
      <top/>
      <bottom/>
      <diagonal/>
    </border>
    <border>
      <left/>
      <right/>
      <top style="double">
        <color indexed="10"/>
      </top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thin">
        <color indexed="48"/>
      </left>
      <right style="thin">
        <color indexed="12"/>
      </right>
      <top style="double">
        <color indexed="48"/>
      </top>
      <bottom style="thin">
        <color indexed="48"/>
      </bottom>
      <diagonal/>
    </border>
    <border>
      <left style="thin">
        <color indexed="12"/>
      </left>
      <right style="double">
        <color indexed="48"/>
      </right>
      <top style="double">
        <color indexed="48"/>
      </top>
      <bottom style="thin">
        <color indexed="48"/>
      </bottom>
      <diagonal/>
    </border>
    <border>
      <left style="thin">
        <color indexed="10"/>
      </left>
      <right style="thin">
        <color indexed="10"/>
      </right>
      <top style="thin">
        <color indexed="48"/>
      </top>
      <bottom style="thin">
        <color indexed="48"/>
      </bottom>
      <diagonal/>
    </border>
    <border>
      <left style="thin">
        <color indexed="10"/>
      </left>
      <right style="double">
        <color indexed="10"/>
      </right>
      <top style="thin">
        <color indexed="48"/>
      </top>
      <bottom style="thin">
        <color indexed="48"/>
      </bottom>
      <diagonal/>
    </border>
    <border>
      <left style="thin">
        <color indexed="12"/>
      </left>
      <right style="double">
        <color indexed="12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12"/>
      </right>
      <top style="thin">
        <color indexed="48"/>
      </top>
      <bottom style="thin">
        <color indexed="48"/>
      </bottom>
      <diagonal/>
    </border>
    <border>
      <left style="thin">
        <color indexed="10"/>
      </left>
      <right style="thin">
        <color indexed="10"/>
      </right>
      <top style="thin">
        <color indexed="48"/>
      </top>
      <bottom style="double">
        <color indexed="12"/>
      </bottom>
      <diagonal/>
    </border>
    <border>
      <left style="thin">
        <color indexed="48"/>
      </left>
      <right style="thin">
        <color indexed="12"/>
      </right>
      <top/>
      <bottom style="thin">
        <color indexed="48"/>
      </bottom>
      <diagonal/>
    </border>
    <border>
      <left style="thin">
        <color indexed="12"/>
      </left>
      <right style="double">
        <color indexed="48"/>
      </right>
      <top/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9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1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64"/>
      </right>
      <top/>
      <bottom style="thin">
        <color indexed="12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3"/>
      </left>
      <right/>
      <top/>
      <bottom style="double">
        <color indexed="10"/>
      </bottom>
      <diagonal/>
    </border>
    <border>
      <left/>
      <right style="double">
        <color indexed="12"/>
      </right>
      <top style="thin">
        <color indexed="48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thin">
        <color indexed="48"/>
      </bottom>
      <diagonal/>
    </border>
    <border>
      <left style="double">
        <color indexed="10"/>
      </left>
      <right/>
      <top style="medium">
        <color indexed="10"/>
      </top>
      <bottom/>
      <diagonal/>
    </border>
    <border>
      <left style="double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48"/>
      </top>
      <bottom style="double">
        <color indexed="12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medium">
        <color indexed="10"/>
      </left>
      <right style="thin">
        <color indexed="10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/>
      <bottom style="double">
        <color indexed="10"/>
      </bottom>
      <diagonal/>
    </border>
    <border>
      <left style="thin">
        <color indexed="12"/>
      </left>
      <right style="thin">
        <color indexed="12"/>
      </right>
      <top style="double">
        <color indexed="12"/>
      </top>
      <bottom style="thin">
        <color indexed="12"/>
      </bottom>
      <diagonal/>
    </border>
    <border>
      <left style="thin">
        <color indexed="12"/>
      </left>
      <right style="double">
        <color indexed="12"/>
      </right>
      <top style="double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2"/>
      </left>
      <right/>
      <top style="double">
        <color indexed="12"/>
      </top>
      <bottom style="thin">
        <color indexed="12"/>
      </bottom>
      <diagonal/>
    </border>
    <border>
      <left style="double">
        <color indexed="12"/>
      </left>
      <right/>
      <top style="double">
        <color indexed="12"/>
      </top>
      <bottom style="thin">
        <color indexed="12"/>
      </bottom>
      <diagonal/>
    </border>
    <border>
      <left/>
      <right style="thin">
        <color indexed="12"/>
      </right>
      <top style="double">
        <color indexed="12"/>
      </top>
      <bottom style="thin">
        <color indexed="12"/>
      </bottom>
      <diagonal/>
    </border>
    <border>
      <left style="double">
        <color indexed="10"/>
      </left>
      <right style="thin">
        <color indexed="10"/>
      </right>
      <top/>
      <bottom/>
      <diagonal/>
    </border>
    <border>
      <left style="double">
        <color indexed="10"/>
      </left>
      <right style="thin">
        <color indexed="10"/>
      </right>
      <top/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48"/>
      </top>
      <bottom/>
      <diagonal/>
    </border>
    <border>
      <left style="thin">
        <color indexed="10"/>
      </left>
      <right style="double">
        <color indexed="10"/>
      </right>
      <top style="thin">
        <color indexed="48"/>
      </top>
      <bottom/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/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double">
        <color indexed="10"/>
      </right>
      <top style="thin">
        <color indexed="10"/>
      </top>
      <bottom/>
      <diagonal/>
    </border>
    <border>
      <left style="double">
        <color indexed="10"/>
      </left>
      <right style="thin">
        <color indexed="10"/>
      </right>
      <top/>
      <bottom style="thin">
        <color indexed="10"/>
      </bottom>
      <diagonal/>
    </border>
    <border>
      <left style="double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rgb="FF0000FF"/>
      </left>
      <right/>
      <top style="thin">
        <color indexed="64"/>
      </top>
      <bottom/>
      <diagonal/>
    </border>
    <border>
      <left style="thin">
        <color rgb="FF0000FF"/>
      </left>
      <right/>
      <top/>
      <bottom/>
      <diagonal/>
    </border>
    <border>
      <left style="medium">
        <color rgb="FFFF0000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dashed">
        <color rgb="FF0000FF"/>
      </left>
      <right/>
      <top/>
      <bottom/>
      <diagonal/>
    </border>
    <border>
      <left style="dashed">
        <color rgb="FF0000FF"/>
      </left>
      <right/>
      <top/>
      <bottom style="thin">
        <color indexed="64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 style="dashed">
        <color rgb="FF0000FF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 style="medium">
        <color rgb="FFFF0000"/>
      </right>
      <top/>
      <bottom/>
      <diagonal/>
    </border>
    <border>
      <left style="thin">
        <color rgb="FF7030A0"/>
      </left>
      <right style="hair">
        <color rgb="FF0000FF"/>
      </right>
      <top style="thin">
        <color rgb="FF7030A0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thin">
        <color rgb="FF7030A0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thin">
        <color indexed="12"/>
      </top>
      <bottom style="hair">
        <color rgb="FF0000FF"/>
      </bottom>
      <diagonal/>
    </border>
    <border>
      <left style="thin">
        <color rgb="FF7030A0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7030A0"/>
      </left>
      <right style="hair">
        <color rgb="FF0000FF"/>
      </right>
      <top style="hair">
        <color rgb="FF0000FF"/>
      </top>
      <bottom style="thin">
        <color rgb="FF7030A0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thin">
        <color rgb="FF7030A0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thin">
        <color indexed="12"/>
      </bottom>
      <diagonal/>
    </border>
    <border>
      <left style="hair">
        <color rgb="FF0000FF"/>
      </left>
      <right/>
      <top style="thin">
        <color indexed="12"/>
      </top>
      <bottom style="hair">
        <color rgb="FF0000FF"/>
      </bottom>
      <diagonal/>
    </border>
    <border>
      <left style="hair">
        <color rgb="FF0000FF"/>
      </left>
      <right/>
      <top style="hair">
        <color rgb="FF0000FF"/>
      </top>
      <bottom style="hair">
        <color rgb="FF0000FF"/>
      </bottom>
      <diagonal/>
    </border>
    <border>
      <left style="hair">
        <color rgb="FF0000FF"/>
      </left>
      <right/>
      <top style="hair">
        <color rgb="FF0000FF"/>
      </top>
      <bottom style="thin">
        <color indexed="12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FF"/>
      </left>
      <right style="hair">
        <color rgb="FF0000FF"/>
      </right>
      <top style="thin">
        <color rgb="FF7030A0"/>
      </top>
      <bottom style="hair">
        <color rgb="FF0000FF"/>
      </bottom>
      <diagonal/>
    </border>
    <border>
      <left style="medium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indexed="12"/>
      </right>
      <top style="hair">
        <color rgb="FF0000FF"/>
      </top>
      <bottom style="hair">
        <color rgb="FF0000FF"/>
      </bottom>
      <diagonal/>
    </border>
    <border>
      <left style="medium">
        <color rgb="FF0000FF"/>
      </left>
      <right style="hair">
        <color rgb="FF0000FF"/>
      </right>
      <top style="hair">
        <color rgb="FF0000FF"/>
      </top>
      <bottom style="thin">
        <color rgb="FF7030A0"/>
      </bottom>
      <diagonal/>
    </border>
    <border>
      <left style="hair">
        <color rgb="FF0000FF"/>
      </left>
      <right style="thin">
        <color indexed="12"/>
      </right>
      <top style="hair">
        <color rgb="FF0000FF"/>
      </top>
      <bottom style="thin">
        <color indexed="12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double">
        <color indexed="10"/>
      </left>
      <right style="thin">
        <color rgb="FF0000FF"/>
      </right>
      <top style="double">
        <color indexed="10"/>
      </top>
      <bottom/>
      <diagonal/>
    </border>
    <border>
      <left/>
      <right style="thin">
        <color rgb="FFFF0000"/>
      </right>
      <top style="thin">
        <color rgb="FF0000FF"/>
      </top>
      <bottom style="thin">
        <color rgb="FFFF0000"/>
      </bottom>
      <diagonal/>
    </border>
    <border>
      <left style="thin">
        <color rgb="FFFF0000"/>
      </left>
      <right style="double">
        <color indexed="10"/>
      </right>
      <top style="thin">
        <color rgb="FF0000FF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double">
        <color indexed="10"/>
      </bottom>
      <diagonal/>
    </border>
    <border>
      <left style="thin">
        <color rgb="FFFF0000"/>
      </left>
      <right style="double">
        <color indexed="10"/>
      </right>
      <top style="thin">
        <color rgb="FFFF0000"/>
      </top>
      <bottom style="double">
        <color indexed="10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indexed="10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indexed="10"/>
      </bottom>
      <diagonal/>
    </border>
    <border>
      <left style="double">
        <color rgb="FFFF0000"/>
      </left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 style="thin">
        <color rgb="FF0000FF"/>
      </bottom>
      <diagonal/>
    </border>
    <border>
      <left style="thin">
        <color indexed="1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double">
        <color rgb="FFFF0000"/>
      </right>
      <top style="thin">
        <color rgb="FFFF0000"/>
      </top>
      <bottom style="double">
        <color indexed="10"/>
      </bottom>
      <diagonal/>
    </border>
    <border>
      <left/>
      <right/>
      <top style="thin">
        <color indexed="64"/>
      </top>
      <bottom style="medium">
        <color rgb="FF0033CC"/>
      </bottom>
      <diagonal/>
    </border>
    <border>
      <left/>
      <right style="thin">
        <color indexed="64"/>
      </right>
      <top style="thin">
        <color indexed="64"/>
      </top>
      <bottom style="medium">
        <color rgb="FF0033CC"/>
      </bottom>
      <diagonal/>
    </border>
    <border>
      <left style="thin">
        <color rgb="FFFF0000"/>
      </left>
      <right style="double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rgb="FF0033CC"/>
      </bottom>
      <diagonal/>
    </border>
    <border>
      <left style="medium">
        <color rgb="FF0033CC"/>
      </left>
      <right style="medium">
        <color rgb="FF0033CC"/>
      </right>
      <top style="medium">
        <color rgb="FF0033CC"/>
      </top>
      <bottom style="thin">
        <color indexed="12"/>
      </bottom>
      <diagonal/>
    </border>
    <border>
      <left/>
      <right style="dashed">
        <color rgb="FF0000FF"/>
      </right>
      <top style="thin">
        <color rgb="FF0000FF"/>
      </top>
      <bottom/>
      <diagonal/>
    </border>
    <border>
      <left/>
      <right style="dashed">
        <color rgb="FF0000FF"/>
      </right>
      <top/>
      <bottom/>
      <diagonal/>
    </border>
    <border>
      <left/>
      <right style="dashed">
        <color rgb="FF0000FF"/>
      </right>
      <top/>
      <bottom style="thin">
        <color indexed="64"/>
      </bottom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/>
      <diagonal/>
    </border>
    <border>
      <left style="double">
        <color rgb="FFFF0000"/>
      </left>
      <right style="thin">
        <color rgb="FFFF0000"/>
      </right>
      <top/>
      <bottom style="thin">
        <color rgb="FF0000FF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/>
      <diagonal/>
    </border>
    <border>
      <left style="thin">
        <color rgb="FFFF0000"/>
      </left>
      <right style="double">
        <color rgb="FFFF0000"/>
      </right>
      <top/>
      <bottom style="thin">
        <color rgb="FF0000FF"/>
      </bottom>
      <diagonal/>
    </border>
    <border>
      <left/>
      <right style="thin">
        <color rgb="FFFF0000"/>
      </right>
      <top style="thin">
        <color indexed="12"/>
      </top>
      <bottom/>
      <diagonal/>
    </border>
    <border>
      <left/>
      <right style="thin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indexed="10"/>
      </bottom>
      <diagonal/>
    </border>
    <border>
      <left style="medium">
        <color rgb="FF0033CC"/>
      </left>
      <right/>
      <top style="medium">
        <color rgb="FF0033CC"/>
      </top>
      <bottom style="thin">
        <color indexed="12"/>
      </bottom>
      <diagonal/>
    </border>
    <border>
      <left/>
      <right/>
      <top style="medium">
        <color rgb="FF0033CC"/>
      </top>
      <bottom style="thin">
        <color indexed="12"/>
      </bottom>
      <diagonal/>
    </border>
    <border>
      <left/>
      <right style="medium">
        <color rgb="FF0033CC"/>
      </right>
      <top style="medium">
        <color rgb="FF0033CC"/>
      </top>
      <bottom style="thin">
        <color indexed="12"/>
      </bottom>
      <diagonal/>
    </border>
    <border>
      <left style="double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double">
        <color rgb="FF0000FF"/>
      </left>
      <right/>
      <top style="thin">
        <color rgb="FF0000FF"/>
      </top>
      <bottom style="double">
        <color rgb="FF0000FF"/>
      </bottom>
      <diagonal/>
    </border>
    <border>
      <left/>
      <right/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 style="thin">
        <color indexed="12"/>
      </top>
      <bottom style="double">
        <color rgb="FF0000FF"/>
      </bottom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double">
        <color rgb="FF0000FF"/>
      </right>
      <top style="thin">
        <color indexed="12"/>
      </top>
      <bottom style="double">
        <color rgb="FF0000FF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 style="thin">
        <color rgb="FFFF0000"/>
      </left>
      <right style="thin">
        <color indexed="10"/>
      </right>
      <top/>
      <bottom style="thin">
        <color rgb="FFFF0000"/>
      </bottom>
      <diagonal/>
    </border>
    <border>
      <left style="hair">
        <color rgb="FF0000FF"/>
      </left>
      <right style="thin">
        <color rgb="FF0000FF"/>
      </right>
      <top style="thin">
        <color indexed="12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indexed="10"/>
      </left>
      <right style="double">
        <color rgb="FFFF000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double">
        <color rgb="FFFF000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ouble">
        <color rgb="FFFF0000"/>
      </right>
      <top style="thin">
        <color indexed="10"/>
      </top>
      <bottom/>
      <diagonal/>
    </border>
    <border>
      <left style="thin">
        <color indexed="10"/>
      </left>
      <right style="double">
        <color rgb="FFFF0000"/>
      </right>
      <top/>
      <bottom style="double">
        <color indexed="10"/>
      </bottom>
      <diagonal/>
    </border>
    <border>
      <left style="thin">
        <color indexed="10"/>
      </left>
      <right style="double">
        <color rgb="FFFF0000"/>
      </right>
      <top/>
      <bottom style="thin">
        <color indexed="10"/>
      </bottom>
      <diagonal/>
    </border>
    <border>
      <left style="thin">
        <color indexed="10"/>
      </left>
      <right style="double">
        <color rgb="FFFF0000"/>
      </right>
      <top style="medium">
        <color indexed="10"/>
      </top>
      <bottom style="thin">
        <color indexed="1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92">
    <xf numFmtId="0" fontId="0" fillId="0" borderId="0" xfId="0"/>
    <xf numFmtId="0" fontId="8" fillId="2" borderId="1" xfId="1" applyFill="1" applyBorder="1" applyAlignment="1" applyProtection="1">
      <alignment horizontal="center"/>
      <protection hidden="1"/>
    </xf>
    <xf numFmtId="0" fontId="8" fillId="3" borderId="2" xfId="1" applyFill="1" applyBorder="1" applyAlignment="1" applyProtection="1">
      <alignment horizontal="center"/>
      <protection hidden="1"/>
    </xf>
    <xf numFmtId="0" fontId="8" fillId="2" borderId="0" xfId="1" applyFill="1" applyBorder="1" applyAlignment="1" applyProtection="1">
      <alignment horizontal="center"/>
      <protection hidden="1"/>
    </xf>
    <xf numFmtId="0" fontId="1" fillId="0" borderId="0" xfId="0" applyFont="1"/>
    <xf numFmtId="0" fontId="11" fillId="3" borderId="0" xfId="2" applyFont="1" applyFill="1" applyBorder="1" applyProtection="1">
      <protection hidden="1"/>
    </xf>
    <xf numFmtId="0" fontId="11" fillId="3" borderId="0" xfId="2" applyFont="1" applyFill="1" applyProtection="1">
      <protection hidden="1"/>
    </xf>
    <xf numFmtId="0" fontId="1" fillId="3" borderId="0" xfId="2" applyFill="1" applyProtection="1">
      <protection hidden="1"/>
    </xf>
    <xf numFmtId="0" fontId="1" fillId="0" borderId="0" xfId="2" applyProtection="1">
      <protection hidden="1"/>
    </xf>
    <xf numFmtId="0" fontId="10" fillId="3" borderId="0" xfId="2" applyFont="1" applyFill="1" applyBorder="1" applyProtection="1">
      <protection hidden="1"/>
    </xf>
    <xf numFmtId="2" fontId="11" fillId="3" borderId="0" xfId="2" applyNumberFormat="1" applyFont="1" applyFill="1" applyBorder="1" applyProtection="1">
      <protection hidden="1"/>
    </xf>
    <xf numFmtId="0" fontId="1" fillId="3" borderId="0" xfId="2" applyFill="1" applyBorder="1" applyProtection="1">
      <protection hidden="1"/>
    </xf>
    <xf numFmtId="0" fontId="1" fillId="2" borderId="0" xfId="2" applyFill="1" applyBorder="1" applyProtection="1">
      <protection hidden="1"/>
    </xf>
    <xf numFmtId="0" fontId="1" fillId="4" borderId="4" xfId="2" applyFill="1" applyBorder="1" applyAlignment="1" applyProtection="1">
      <alignment horizontal="center"/>
      <protection hidden="1"/>
    </xf>
    <xf numFmtId="0" fontId="1" fillId="4" borderId="5" xfId="2" applyFill="1" applyBorder="1" applyAlignment="1" applyProtection="1">
      <alignment horizontal="center"/>
      <protection hidden="1"/>
    </xf>
    <xf numFmtId="0" fontId="1" fillId="3" borderId="0" xfId="2" applyFill="1" applyBorder="1" applyAlignment="1" applyProtection="1">
      <alignment horizontal="center"/>
      <protection hidden="1"/>
    </xf>
    <xf numFmtId="2" fontId="17" fillId="3" borderId="0" xfId="2" applyNumberFormat="1" applyFont="1" applyFill="1" applyProtection="1">
      <protection hidden="1"/>
    </xf>
    <xf numFmtId="2" fontId="1" fillId="3" borderId="11" xfId="2" applyNumberFormat="1" applyFill="1" applyBorder="1" applyProtection="1">
      <protection hidden="1"/>
    </xf>
    <xf numFmtId="0" fontId="12" fillId="3" borderId="0" xfId="2" applyFont="1" applyFill="1" applyBorder="1" applyAlignment="1" applyProtection="1">
      <alignment horizontal="center" vertical="center" textRotation="90"/>
      <protection hidden="1"/>
    </xf>
    <xf numFmtId="165" fontId="3" fillId="3" borderId="11" xfId="2" applyNumberFormat="1" applyFont="1" applyFill="1" applyBorder="1" applyProtection="1">
      <protection hidden="1"/>
    </xf>
    <xf numFmtId="0" fontId="6" fillId="3" borderId="0" xfId="2" applyFont="1" applyFill="1" applyBorder="1" applyAlignment="1" applyProtection="1">
      <alignment horizontal="center"/>
      <protection hidden="1"/>
    </xf>
    <xf numFmtId="0" fontId="3" fillId="3" borderId="0" xfId="2" applyFont="1" applyFill="1" applyProtection="1">
      <protection hidden="1"/>
    </xf>
    <xf numFmtId="0" fontId="1" fillId="3" borderId="12" xfId="2" applyFill="1" applyBorder="1" applyAlignment="1" applyProtection="1">
      <alignment horizontal="right"/>
      <protection hidden="1"/>
    </xf>
    <xf numFmtId="166" fontId="1" fillId="3" borderId="0" xfId="2" applyNumberFormat="1" applyFill="1" applyBorder="1" applyProtection="1">
      <protection hidden="1"/>
    </xf>
    <xf numFmtId="0" fontId="1" fillId="3" borderId="0" xfId="2" applyFill="1" applyBorder="1" applyAlignment="1" applyProtection="1">
      <protection hidden="1"/>
    </xf>
    <xf numFmtId="2" fontId="1" fillId="3" borderId="0" xfId="2" applyNumberFormat="1" applyFill="1" applyBorder="1" applyAlignment="1" applyProtection="1">
      <alignment horizontal="right"/>
      <protection hidden="1"/>
    </xf>
    <xf numFmtId="2" fontId="1" fillId="3" borderId="0" xfId="2" applyNumberFormat="1" applyFill="1" applyBorder="1" applyProtection="1">
      <protection hidden="1"/>
    </xf>
    <xf numFmtId="0" fontId="1" fillId="3" borderId="0" xfId="2" applyFill="1" applyAlignment="1" applyProtection="1">
      <alignment horizontal="right"/>
      <protection hidden="1"/>
    </xf>
    <xf numFmtId="164" fontId="1" fillId="3" borderId="0" xfId="2" applyNumberFormat="1" applyFill="1" applyProtection="1">
      <protection hidden="1"/>
    </xf>
    <xf numFmtId="0" fontId="3" fillId="3" borderId="0" xfId="2" applyFont="1" applyFill="1" applyBorder="1" applyAlignment="1" applyProtection="1">
      <protection hidden="1"/>
    </xf>
    <xf numFmtId="0" fontId="3" fillId="3" borderId="0" xfId="2" applyFont="1" applyFill="1" applyBorder="1" applyProtection="1">
      <protection hidden="1"/>
    </xf>
    <xf numFmtId="165" fontId="1" fillId="3" borderId="0" xfId="2" applyNumberFormat="1" applyFill="1" applyBorder="1" applyProtection="1">
      <protection hidden="1"/>
    </xf>
    <xf numFmtId="165" fontId="1" fillId="3" borderId="0" xfId="2" applyNumberFormat="1" applyFill="1" applyProtection="1">
      <protection hidden="1"/>
    </xf>
    <xf numFmtId="0" fontId="1" fillId="3" borderId="0" xfId="2" applyFont="1" applyFill="1" applyProtection="1">
      <protection hidden="1"/>
    </xf>
    <xf numFmtId="2" fontId="1" fillId="3" borderId="0" xfId="2" applyNumberFormat="1" applyFill="1" applyProtection="1">
      <protection hidden="1"/>
    </xf>
    <xf numFmtId="0" fontId="1" fillId="0" borderId="0" xfId="2" applyFill="1" applyProtection="1">
      <protection hidden="1"/>
    </xf>
    <xf numFmtId="0" fontId="1" fillId="0" borderId="0" xfId="2" applyFill="1"/>
    <xf numFmtId="0" fontId="1" fillId="0" borderId="23" xfId="2" applyBorder="1" applyAlignment="1">
      <alignment horizontal="center"/>
    </xf>
    <xf numFmtId="0" fontId="1" fillId="0" borderId="24" xfId="2" applyBorder="1" applyAlignment="1">
      <alignment horizontal="center"/>
    </xf>
    <xf numFmtId="0" fontId="1" fillId="0" borderId="25" xfId="2" applyBorder="1" applyAlignment="1">
      <alignment horizontal="center"/>
    </xf>
    <xf numFmtId="0" fontId="1" fillId="0" borderId="26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0" xfId="2" applyBorder="1"/>
    <xf numFmtId="2" fontId="1" fillId="0" borderId="0" xfId="2" applyNumberFormat="1" applyFill="1" applyProtection="1">
      <protection locked="0"/>
    </xf>
    <xf numFmtId="2" fontId="1" fillId="0" borderId="0" xfId="2" applyNumberFormat="1" applyFill="1"/>
    <xf numFmtId="0" fontId="1" fillId="0" borderId="0" xfId="2"/>
    <xf numFmtId="2" fontId="1" fillId="0" borderId="27" xfId="2" applyNumberFormat="1" applyFill="1" applyBorder="1" applyProtection="1">
      <protection locked="0"/>
    </xf>
    <xf numFmtId="0" fontId="1" fillId="0" borderId="0" xfId="2" applyFill="1" applyAlignment="1">
      <alignment horizontal="right"/>
    </xf>
    <xf numFmtId="1" fontId="1" fillId="0" borderId="0" xfId="2" applyNumberFormat="1" applyFill="1"/>
    <xf numFmtId="0" fontId="1" fillId="0" borderId="0" xfId="2" applyAlignment="1">
      <alignment horizontal="right"/>
    </xf>
    <xf numFmtId="0" fontId="1" fillId="0" borderId="0" xfId="2" applyFill="1" applyProtection="1">
      <protection locked="0"/>
    </xf>
    <xf numFmtId="0" fontId="1" fillId="3" borderId="28" xfId="2" applyFill="1" applyBorder="1"/>
    <xf numFmtId="0" fontId="1" fillId="0" borderId="0" xfId="2" applyFill="1" applyBorder="1"/>
    <xf numFmtId="0" fontId="1" fillId="0" borderId="27" xfId="2" applyFill="1" applyBorder="1"/>
    <xf numFmtId="0" fontId="1" fillId="0" borderId="0" xfId="2" applyFill="1" applyAlignment="1" applyProtection="1">
      <alignment horizontal="right"/>
    </xf>
    <xf numFmtId="165" fontId="1" fillId="0" borderId="0" xfId="2" applyNumberFormat="1" applyBorder="1"/>
    <xf numFmtId="0" fontId="1" fillId="0" borderId="29" xfId="2" applyFill="1" applyBorder="1" applyProtection="1">
      <protection locked="0"/>
    </xf>
    <xf numFmtId="1" fontId="1" fillId="0" borderId="0" xfId="2" applyNumberFormat="1" applyFill="1" applyAlignment="1">
      <alignment horizontal="right"/>
    </xf>
    <xf numFmtId="1" fontId="1" fillId="3" borderId="29" xfId="2" applyNumberFormat="1" applyFill="1" applyBorder="1"/>
    <xf numFmtId="0" fontId="1" fillId="0" borderId="27" xfId="2" applyBorder="1"/>
    <xf numFmtId="1" fontId="1" fillId="3" borderId="29" xfId="2" applyNumberFormat="1" applyFill="1" applyBorder="1" applyProtection="1"/>
    <xf numFmtId="0" fontId="1" fillId="0" borderId="0" xfId="2" applyAlignment="1">
      <alignment horizontal="center"/>
    </xf>
    <xf numFmtId="0" fontId="1" fillId="0" borderId="0" xfId="2" applyFont="1" applyFill="1"/>
    <xf numFmtId="165" fontId="1" fillId="0" borderId="0" xfId="2" applyNumberFormat="1"/>
    <xf numFmtId="0" fontId="2" fillId="0" borderId="0" xfId="2" applyFont="1"/>
    <xf numFmtId="0" fontId="1" fillId="0" borderId="0" xfId="2" applyBorder="1" applyAlignment="1">
      <alignment horizontal="center"/>
    </xf>
    <xf numFmtId="0" fontId="1" fillId="3" borderId="0" xfId="2" applyFill="1" applyBorder="1" applyAlignment="1">
      <alignment horizontal="right"/>
    </xf>
    <xf numFmtId="2" fontId="1" fillId="0" borderId="0" xfId="2" applyNumberFormat="1"/>
    <xf numFmtId="2" fontId="1" fillId="0" borderId="0" xfId="2" applyNumberFormat="1" applyBorder="1"/>
    <xf numFmtId="2" fontId="1" fillId="0" borderId="0" xfId="2" applyNumberFormat="1" applyProtection="1">
      <protection locked="0"/>
    </xf>
    <xf numFmtId="0" fontId="1" fillId="3" borderId="0" xfId="2" applyFill="1" applyAlignment="1">
      <alignment horizontal="right"/>
    </xf>
    <xf numFmtId="0" fontId="1" fillId="3" borderId="0" xfId="2" quotePrefix="1" applyFill="1" applyBorder="1" applyAlignment="1" applyProtection="1">
      <alignment horizontal="right"/>
    </xf>
    <xf numFmtId="0" fontId="1" fillId="0" borderId="0" xfId="2" applyAlignment="1">
      <alignment shrinkToFit="1"/>
    </xf>
    <xf numFmtId="0" fontId="1" fillId="0" borderId="0" xfId="2" applyFont="1"/>
    <xf numFmtId="0" fontId="1" fillId="0" borderId="30" xfId="2" applyFont="1" applyBorder="1"/>
    <xf numFmtId="0" fontId="1" fillId="0" borderId="31" xfId="2" applyBorder="1"/>
    <xf numFmtId="2" fontId="1" fillId="0" borderId="0" xfId="2" applyNumberFormat="1" applyBorder="1" applyAlignment="1">
      <alignment horizontal="right"/>
    </xf>
    <xf numFmtId="0" fontId="1" fillId="4" borderId="32" xfId="2" applyFill="1" applyBorder="1" applyAlignment="1" applyProtection="1">
      <alignment horizontal="center"/>
      <protection hidden="1"/>
    </xf>
    <xf numFmtId="0" fontId="1" fillId="0" borderId="0" xfId="2" applyFill="1" applyProtection="1"/>
    <xf numFmtId="0" fontId="1" fillId="0" borderId="0" xfId="2" quotePrefix="1"/>
    <xf numFmtId="0" fontId="26" fillId="5" borderId="0" xfId="2" applyFont="1" applyFill="1" applyBorder="1" applyAlignment="1" applyProtection="1">
      <alignment horizontal="center" vertical="center" textRotation="90"/>
      <protection hidden="1"/>
    </xf>
    <xf numFmtId="0" fontId="27" fillId="3" borderId="0" xfId="2" applyFont="1" applyFill="1" applyBorder="1" applyAlignment="1" applyProtection="1">
      <alignment horizontal="left" vertical="center"/>
      <protection hidden="1"/>
    </xf>
    <xf numFmtId="0" fontId="1" fillId="0" borderId="34" xfId="2" applyBorder="1"/>
    <xf numFmtId="0" fontId="1" fillId="0" borderId="35" xfId="2" applyBorder="1"/>
    <xf numFmtId="168" fontId="1" fillId="0" borderId="31" xfId="2" applyNumberFormat="1" applyFill="1" applyBorder="1"/>
    <xf numFmtId="0" fontId="1" fillId="0" borderId="77" xfId="2" applyFill="1" applyBorder="1"/>
    <xf numFmtId="2" fontId="1" fillId="0" borderId="78" xfId="2" applyNumberFormat="1" applyFill="1" applyBorder="1" applyProtection="1">
      <protection locked="0"/>
    </xf>
    <xf numFmtId="0" fontId="1" fillId="0" borderId="78" xfId="2" applyFill="1" applyBorder="1"/>
    <xf numFmtId="0" fontId="1" fillId="0" borderId="78" xfId="2" applyFill="1" applyBorder="1" applyProtection="1">
      <protection locked="0"/>
    </xf>
    <xf numFmtId="1" fontId="1" fillId="0" borderId="78" xfId="2" applyNumberFormat="1" applyFill="1" applyBorder="1" applyAlignment="1">
      <alignment horizontal="right"/>
    </xf>
    <xf numFmtId="0" fontId="1" fillId="0" borderId="78" xfId="2" applyBorder="1"/>
    <xf numFmtId="1" fontId="1" fillId="0" borderId="0" xfId="2" applyNumberFormat="1"/>
    <xf numFmtId="168" fontId="1" fillId="3" borderId="28" xfId="2" applyNumberFormat="1" applyFill="1" applyBorder="1"/>
    <xf numFmtId="164" fontId="1" fillId="0" borderId="0" xfId="2" applyNumberFormat="1" applyFill="1" applyProtection="1">
      <protection locked="0"/>
    </xf>
    <xf numFmtId="167" fontId="1" fillId="0" borderId="0" xfId="2" applyNumberFormat="1"/>
    <xf numFmtId="2" fontId="1" fillId="0" borderId="0" xfId="2" applyNumberFormat="1" applyFill="1" applyBorder="1" applyProtection="1">
      <protection locked="0"/>
    </xf>
    <xf numFmtId="0" fontId="1" fillId="0" borderId="80" xfId="2" applyFill="1" applyBorder="1"/>
    <xf numFmtId="166" fontId="1" fillId="0" borderId="0" xfId="2" applyNumberFormat="1"/>
    <xf numFmtId="2" fontId="1" fillId="0" borderId="0" xfId="0" applyNumberFormat="1" applyFont="1"/>
    <xf numFmtId="169" fontId="1" fillId="0" borderId="0" xfId="2" applyNumberFormat="1" applyFill="1"/>
    <xf numFmtId="2" fontId="28" fillId="3" borderId="0" xfId="2" applyNumberFormat="1" applyFont="1" applyFill="1" applyProtection="1">
      <protection hidden="1"/>
    </xf>
    <xf numFmtId="0" fontId="28" fillId="3" borderId="0" xfId="2" applyFont="1" applyFill="1" applyProtection="1">
      <protection hidden="1"/>
    </xf>
    <xf numFmtId="165" fontId="28" fillId="6" borderId="0" xfId="2" applyNumberFormat="1" applyFont="1" applyFill="1" applyBorder="1" applyProtection="1">
      <protection hidden="1"/>
    </xf>
    <xf numFmtId="2" fontId="28" fillId="6" borderId="0" xfId="2" applyNumberFormat="1" applyFont="1" applyFill="1" applyBorder="1" applyAlignment="1" applyProtection="1">
      <protection hidden="1"/>
    </xf>
    <xf numFmtId="0" fontId="28" fillId="6" borderId="0" xfId="2" applyFont="1" applyFill="1" applyBorder="1" applyAlignment="1" applyProtection="1">
      <alignment horizontal="center"/>
      <protection hidden="1"/>
    </xf>
    <xf numFmtId="2" fontId="28" fillId="6" borderId="0" xfId="2" applyNumberFormat="1" applyFont="1" applyFill="1" applyBorder="1" applyAlignment="1" applyProtection="1">
      <alignment horizontal="right"/>
      <protection hidden="1"/>
    </xf>
    <xf numFmtId="0" fontId="28" fillId="6" borderId="0" xfId="2" applyFont="1" applyFill="1" applyBorder="1" applyProtection="1">
      <protection hidden="1"/>
    </xf>
    <xf numFmtId="0" fontId="1" fillId="6" borderId="0" xfId="2" applyFill="1" applyBorder="1" applyProtection="1">
      <protection hidden="1"/>
    </xf>
    <xf numFmtId="0" fontId="1" fillId="6" borderId="0" xfId="2" applyFill="1" applyProtection="1">
      <protection hidden="1"/>
    </xf>
    <xf numFmtId="0" fontId="29" fillId="6" borderId="0" xfId="2" applyFont="1" applyFill="1" applyProtection="1">
      <protection hidden="1"/>
    </xf>
    <xf numFmtId="0" fontId="30" fillId="7" borderId="0" xfId="2" applyFont="1" applyFill="1" applyBorder="1" applyProtection="1"/>
    <xf numFmtId="0" fontId="30" fillId="7" borderId="0" xfId="2" applyFont="1" applyFill="1" applyBorder="1" applyAlignment="1" applyProtection="1">
      <alignment horizontal="right"/>
    </xf>
    <xf numFmtId="0" fontId="1" fillId="7" borderId="82" xfId="2" applyFill="1" applyBorder="1" applyProtection="1"/>
    <xf numFmtId="0" fontId="1" fillId="7" borderId="83" xfId="2" applyFill="1" applyBorder="1" applyProtection="1"/>
    <xf numFmtId="0" fontId="31" fillId="6" borderId="0" xfId="2" applyFont="1" applyFill="1" applyBorder="1" applyProtection="1"/>
    <xf numFmtId="0" fontId="1" fillId="6" borderId="0" xfId="2" applyFill="1" applyBorder="1" applyProtection="1"/>
    <xf numFmtId="0" fontId="1" fillId="4" borderId="44" xfId="2" applyFill="1" applyBorder="1" applyAlignment="1" applyProtection="1">
      <alignment horizontal="center"/>
      <protection hidden="1"/>
    </xf>
    <xf numFmtId="0" fontId="1" fillId="4" borderId="45" xfId="2" applyFill="1" applyBorder="1" applyAlignment="1" applyProtection="1">
      <alignment horizontal="center"/>
      <protection hidden="1"/>
    </xf>
    <xf numFmtId="0" fontId="31" fillId="7" borderId="84" xfId="2" applyFont="1" applyFill="1" applyBorder="1" applyProtection="1"/>
    <xf numFmtId="0" fontId="30" fillId="7" borderId="85" xfId="2" applyFont="1" applyFill="1" applyBorder="1" applyAlignment="1" applyProtection="1">
      <alignment horizontal="right"/>
    </xf>
    <xf numFmtId="0" fontId="1" fillId="7" borderId="86" xfId="2" applyFill="1" applyBorder="1" applyProtection="1"/>
    <xf numFmtId="0" fontId="31" fillId="7" borderId="78" xfId="2" applyFont="1" applyFill="1" applyBorder="1" applyProtection="1"/>
    <xf numFmtId="0" fontId="1" fillId="7" borderId="87" xfId="2" applyFill="1" applyBorder="1" applyProtection="1"/>
    <xf numFmtId="0" fontId="30" fillId="7" borderId="26" xfId="2" applyFont="1" applyFill="1" applyBorder="1" applyAlignment="1" applyProtection="1">
      <alignment horizontal="right"/>
    </xf>
    <xf numFmtId="0" fontId="26" fillId="6" borderId="0" xfId="2" applyFont="1" applyFill="1" applyAlignment="1" applyProtection="1">
      <alignment vertical="center"/>
      <protection hidden="1"/>
    </xf>
    <xf numFmtId="0" fontId="7" fillId="3" borderId="0" xfId="2" applyFont="1" applyFill="1" applyBorder="1" applyAlignment="1" applyProtection="1">
      <alignment horizontal="left"/>
      <protection hidden="1"/>
    </xf>
    <xf numFmtId="0" fontId="4" fillId="2" borderId="88" xfId="1" applyFont="1" applyFill="1" applyBorder="1" applyAlignment="1" applyProtection="1">
      <alignment horizontal="center"/>
      <protection hidden="1"/>
    </xf>
    <xf numFmtId="0" fontId="28" fillId="6" borderId="0" xfId="2" applyFont="1" applyFill="1" applyBorder="1" applyAlignment="1" applyProtection="1">
      <alignment vertical="center"/>
      <protection hidden="1"/>
    </xf>
    <xf numFmtId="0" fontId="1" fillId="0" borderId="51" xfId="2" applyFill="1" applyBorder="1" applyAlignment="1" applyProtection="1">
      <alignment vertical="center"/>
      <protection hidden="1"/>
    </xf>
    <xf numFmtId="0" fontId="15" fillId="0" borderId="51" xfId="2" applyFont="1" applyFill="1" applyBorder="1" applyAlignment="1" applyProtection="1">
      <alignment horizontal="right" vertical="center"/>
      <protection hidden="1"/>
    </xf>
    <xf numFmtId="0" fontId="1" fillId="0" borderId="51" xfId="2" applyBorder="1" applyAlignment="1" applyProtection="1">
      <alignment vertical="center"/>
      <protection hidden="1"/>
    </xf>
    <xf numFmtId="0" fontId="29" fillId="3" borderId="0" xfId="2" applyFont="1" applyFill="1" applyProtection="1">
      <protection hidden="1"/>
    </xf>
    <xf numFmtId="0" fontId="28" fillId="6" borderId="0" xfId="2" applyFont="1" applyFill="1" applyProtection="1">
      <protection hidden="1"/>
    </xf>
    <xf numFmtId="49" fontId="32" fillId="0" borderId="53" xfId="2" applyNumberFormat="1" applyFont="1" applyFill="1" applyBorder="1" applyAlignment="1" applyProtection="1">
      <alignment horizontal="center"/>
      <protection locked="0"/>
    </xf>
    <xf numFmtId="49" fontId="32" fillId="0" borderId="54" xfId="2" applyNumberFormat="1" applyFont="1" applyFill="1" applyBorder="1" applyAlignment="1" applyProtection="1">
      <alignment horizontal="center"/>
      <protection locked="0"/>
    </xf>
    <xf numFmtId="49" fontId="32" fillId="0" borderId="55" xfId="2" applyNumberFormat="1" applyFont="1" applyFill="1" applyBorder="1" applyAlignment="1" applyProtection="1">
      <alignment horizontal="center"/>
      <protection locked="0"/>
    </xf>
    <xf numFmtId="168" fontId="1" fillId="0" borderId="0" xfId="2" applyNumberFormat="1"/>
    <xf numFmtId="0" fontId="1" fillId="0" borderId="102" xfId="2" applyBorder="1"/>
    <xf numFmtId="0" fontId="1" fillId="0" borderId="103" xfId="2" applyBorder="1"/>
    <xf numFmtId="0" fontId="1" fillId="0" borderId="29" xfId="2" applyBorder="1"/>
    <xf numFmtId="0" fontId="15" fillId="0" borderId="58" xfId="2" applyFont="1" applyFill="1" applyBorder="1" applyAlignment="1" applyProtection="1">
      <alignment horizontal="right" vertical="center"/>
      <protection hidden="1"/>
    </xf>
    <xf numFmtId="0" fontId="1" fillId="7" borderId="59" xfId="2" applyFill="1" applyBorder="1" applyAlignment="1" applyProtection="1">
      <alignment vertical="center"/>
      <protection hidden="1"/>
    </xf>
    <xf numFmtId="0" fontId="1" fillId="7" borderId="60" xfId="2" applyFill="1" applyBorder="1" applyAlignment="1" applyProtection="1">
      <alignment vertical="center"/>
      <protection hidden="1"/>
    </xf>
    <xf numFmtId="0" fontId="22" fillId="3" borderId="0" xfId="2" applyFont="1" applyFill="1" applyProtection="1">
      <protection hidden="1"/>
    </xf>
    <xf numFmtId="0" fontId="1" fillId="0" borderId="51" xfId="2" applyBorder="1" applyProtection="1">
      <protection hidden="1"/>
    </xf>
    <xf numFmtId="2" fontId="1" fillId="0" borderId="29" xfId="2" applyNumberFormat="1" applyBorder="1"/>
    <xf numFmtId="0" fontId="29" fillId="0" borderId="0" xfId="2" applyFont="1"/>
    <xf numFmtId="0" fontId="1" fillId="0" borderId="81" xfId="2" applyBorder="1"/>
    <xf numFmtId="2" fontId="1" fillId="0" borderId="109" xfId="2" applyNumberFormat="1" applyBorder="1"/>
    <xf numFmtId="0" fontId="23" fillId="0" borderId="0" xfId="0" applyFont="1" applyBorder="1" applyAlignment="1">
      <alignment horizontal="center" vertical="top" wrapText="1"/>
    </xf>
    <xf numFmtId="2" fontId="29" fillId="0" borderId="0" xfId="2" applyNumberFormat="1" applyFont="1"/>
    <xf numFmtId="11" fontId="1" fillId="0" borderId="0" xfId="2" applyNumberFormat="1" applyBorder="1"/>
    <xf numFmtId="2" fontId="28" fillId="6" borderId="0" xfId="2" applyNumberFormat="1" applyFont="1" applyFill="1" applyProtection="1">
      <protection hidden="1"/>
    </xf>
    <xf numFmtId="2" fontId="28" fillId="3" borderId="0" xfId="2" applyNumberFormat="1" applyFont="1" applyFill="1" applyBorder="1" applyProtection="1">
      <protection hidden="1"/>
    </xf>
    <xf numFmtId="1" fontId="28" fillId="3" borderId="0" xfId="2" applyNumberFormat="1" applyFont="1" applyFill="1" applyProtection="1">
      <protection hidden="1"/>
    </xf>
    <xf numFmtId="2" fontId="29" fillId="6" borderId="0" xfId="2" applyNumberFormat="1" applyFont="1" applyFill="1" applyBorder="1" applyAlignment="1" applyProtection="1">
      <protection hidden="1"/>
    </xf>
    <xf numFmtId="0" fontId="29" fillId="6" borderId="0" xfId="2" applyFont="1" applyFill="1" applyBorder="1" applyProtection="1">
      <protection hidden="1"/>
    </xf>
    <xf numFmtId="0" fontId="29" fillId="3" borderId="0" xfId="2" applyFont="1" applyFill="1" applyBorder="1" applyAlignment="1" applyProtection="1">
      <protection hidden="1"/>
    </xf>
    <xf numFmtId="0" fontId="29" fillId="3" borderId="0" xfId="2" applyFont="1" applyFill="1" applyBorder="1" applyProtection="1">
      <protection hidden="1"/>
    </xf>
    <xf numFmtId="2" fontId="29" fillId="3" borderId="0" xfId="2" applyNumberFormat="1" applyFont="1" applyFill="1" applyBorder="1" applyAlignment="1" applyProtection="1">
      <protection hidden="1"/>
    </xf>
    <xf numFmtId="0" fontId="28" fillId="3" borderId="0" xfId="2" applyFont="1" applyFill="1" applyBorder="1" applyAlignment="1" applyProtection="1">
      <alignment horizontal="center"/>
      <protection hidden="1"/>
    </xf>
    <xf numFmtId="0" fontId="29" fillId="6" borderId="0" xfId="2" applyFont="1" applyFill="1" applyBorder="1" applyAlignment="1" applyProtection="1">
      <protection hidden="1"/>
    </xf>
    <xf numFmtId="2" fontId="29" fillId="6" borderId="43" xfId="2" applyNumberFormat="1" applyFont="1" applyFill="1" applyBorder="1" applyAlignment="1" applyProtection="1">
      <protection hidden="1"/>
    </xf>
    <xf numFmtId="0" fontId="31" fillId="3" borderId="0" xfId="2" applyFont="1" applyFill="1" applyProtection="1">
      <protection hidden="1"/>
    </xf>
    <xf numFmtId="0" fontId="31" fillId="6" borderId="0" xfId="2" applyFont="1" applyFill="1" applyBorder="1" applyProtection="1">
      <protection hidden="1"/>
    </xf>
    <xf numFmtId="0" fontId="35" fillId="6" borderId="0" xfId="2" applyFont="1" applyFill="1" applyBorder="1" applyAlignment="1" applyProtection="1">
      <alignment horizontal="center"/>
      <protection hidden="1"/>
    </xf>
    <xf numFmtId="0" fontId="31" fillId="3" borderId="126" xfId="2" applyFont="1" applyFill="1" applyBorder="1" applyAlignment="1" applyProtection="1">
      <protection hidden="1"/>
    </xf>
    <xf numFmtId="0" fontId="31" fillId="3" borderId="0" xfId="2" applyFont="1" applyFill="1" applyBorder="1" applyAlignment="1" applyProtection="1">
      <protection hidden="1"/>
    </xf>
    <xf numFmtId="0" fontId="31" fillId="3" borderId="127" xfId="2" applyFont="1" applyFill="1" applyBorder="1" applyAlignment="1" applyProtection="1">
      <protection hidden="1"/>
    </xf>
    <xf numFmtId="2" fontId="29" fillId="6" borderId="128" xfId="2" applyNumberFormat="1" applyFont="1" applyFill="1" applyBorder="1" applyAlignment="1" applyProtection="1">
      <protection hidden="1"/>
    </xf>
    <xf numFmtId="0" fontId="22" fillId="7" borderId="85" xfId="2" applyFont="1" applyFill="1" applyBorder="1" applyProtection="1"/>
    <xf numFmtId="0" fontId="22" fillId="7" borderId="0" xfId="2" applyFont="1" applyFill="1" applyBorder="1" applyProtection="1"/>
    <xf numFmtId="2" fontId="1" fillId="0" borderId="144" xfId="2" applyNumberFormat="1" applyBorder="1" applyProtection="1">
      <protection locked="0"/>
    </xf>
    <xf numFmtId="2" fontId="1" fillId="0" borderId="145" xfId="2" applyNumberFormat="1" applyBorder="1" applyProtection="1">
      <protection locked="0"/>
    </xf>
    <xf numFmtId="164" fontId="29" fillId="6" borderId="0" xfId="2" applyNumberFormat="1" applyFont="1" applyFill="1" applyBorder="1" applyProtection="1">
      <protection hidden="1"/>
    </xf>
    <xf numFmtId="165" fontId="29" fillId="3" borderId="0" xfId="2" applyNumberFormat="1" applyFont="1" applyFill="1" applyProtection="1">
      <protection hidden="1"/>
    </xf>
    <xf numFmtId="0" fontId="1" fillId="0" borderId="73" xfId="2" applyFill="1" applyBorder="1" applyAlignment="1" applyProtection="1">
      <alignment vertical="center"/>
      <protection hidden="1"/>
    </xf>
    <xf numFmtId="0" fontId="1" fillId="0" borderId="74" xfId="2" applyFill="1" applyBorder="1" applyAlignment="1" applyProtection="1">
      <alignment vertical="center"/>
      <protection hidden="1"/>
    </xf>
    <xf numFmtId="0" fontId="15" fillId="0" borderId="46" xfId="2" applyFont="1" applyFill="1" applyBorder="1" applyAlignment="1" applyProtection="1">
      <alignment horizontal="right" vertical="center"/>
      <protection hidden="1"/>
    </xf>
    <xf numFmtId="0" fontId="1" fillId="0" borderId="74" xfId="2" applyBorder="1" applyAlignment="1" applyProtection="1">
      <alignment vertical="center"/>
      <protection hidden="1"/>
    </xf>
    <xf numFmtId="0" fontId="15" fillId="0" borderId="74" xfId="2" applyFont="1" applyFill="1" applyBorder="1" applyAlignment="1" applyProtection="1">
      <alignment horizontal="right" vertical="center"/>
      <protection hidden="1"/>
    </xf>
    <xf numFmtId="0" fontId="12" fillId="3" borderId="127" xfId="2" applyFont="1" applyFill="1" applyBorder="1" applyAlignment="1" applyProtection="1">
      <alignment vertical="center"/>
      <protection hidden="1"/>
    </xf>
    <xf numFmtId="0" fontId="12" fillId="3" borderId="148" xfId="2" applyFont="1" applyFill="1" applyBorder="1" applyAlignment="1" applyProtection="1">
      <alignment vertical="center"/>
      <protection hidden="1"/>
    </xf>
    <xf numFmtId="0" fontId="0" fillId="0" borderId="0" xfId="0" applyBorder="1"/>
    <xf numFmtId="0" fontId="23" fillId="0" borderId="0" xfId="0" applyFont="1" applyBorder="1" applyAlignment="1">
      <alignment horizontal="center"/>
    </xf>
    <xf numFmtId="2" fontId="37" fillId="5" borderId="0" xfId="2" applyNumberFormat="1" applyFont="1" applyFill="1" applyBorder="1" applyAlignment="1" applyProtection="1">
      <protection hidden="1"/>
    </xf>
    <xf numFmtId="0" fontId="31" fillId="6" borderId="0" xfId="2" applyFont="1" applyFill="1" applyProtection="1">
      <protection hidden="1"/>
    </xf>
    <xf numFmtId="0" fontId="11" fillId="7" borderId="152" xfId="2" applyFont="1" applyFill="1" applyBorder="1" applyProtection="1">
      <protection hidden="1"/>
    </xf>
    <xf numFmtId="0" fontId="31" fillId="7" borderId="153" xfId="2" applyFont="1" applyFill="1" applyBorder="1" applyAlignment="1" applyProtection="1">
      <alignment vertical="center"/>
      <protection hidden="1"/>
    </xf>
    <xf numFmtId="0" fontId="31" fillId="7" borderId="74" xfId="2" applyFont="1" applyFill="1" applyBorder="1" applyAlignment="1" applyProtection="1">
      <alignment vertical="center"/>
      <protection hidden="1"/>
    </xf>
    <xf numFmtId="0" fontId="30" fillId="7" borderId="74" xfId="2" applyFont="1" applyFill="1" applyBorder="1" applyAlignment="1" applyProtection="1">
      <alignment horizontal="right" vertical="center"/>
      <protection hidden="1"/>
    </xf>
    <xf numFmtId="0" fontId="1" fillId="7" borderId="152" xfId="2" applyFill="1" applyBorder="1" applyProtection="1">
      <protection hidden="1"/>
    </xf>
    <xf numFmtId="0" fontId="28" fillId="7" borderId="153" xfId="2" applyFont="1" applyFill="1" applyBorder="1" applyAlignment="1" applyProtection="1">
      <alignment vertical="center"/>
      <protection hidden="1"/>
    </xf>
    <xf numFmtId="0" fontId="19" fillId="7" borderId="154" xfId="2" applyFont="1" applyFill="1" applyBorder="1" applyProtection="1">
      <protection hidden="1"/>
    </xf>
    <xf numFmtId="0" fontId="1" fillId="7" borderId="155" xfId="2" applyFill="1" applyBorder="1" applyProtection="1">
      <protection hidden="1"/>
    </xf>
    <xf numFmtId="0" fontId="1" fillId="7" borderId="156" xfId="2" applyFill="1" applyBorder="1" applyProtection="1">
      <protection hidden="1"/>
    </xf>
    <xf numFmtId="0" fontId="19" fillId="7" borderId="157" xfId="2" applyFont="1" applyFill="1" applyBorder="1" applyProtection="1">
      <protection hidden="1"/>
    </xf>
    <xf numFmtId="0" fontId="1" fillId="7" borderId="158" xfId="2" applyFill="1" applyBorder="1" applyProtection="1">
      <protection hidden="1"/>
    </xf>
    <xf numFmtId="0" fontId="1" fillId="7" borderId="159" xfId="2" applyFill="1" applyBorder="1" applyProtection="1">
      <protection hidden="1"/>
    </xf>
    <xf numFmtId="167" fontId="1" fillId="0" borderId="0" xfId="0" applyNumberFormat="1" applyFont="1"/>
    <xf numFmtId="165" fontId="1" fillId="0" borderId="101" xfId="2" applyNumberFormat="1" applyBorder="1"/>
    <xf numFmtId="0" fontId="1" fillId="0" borderId="160" xfId="2" applyBorder="1" applyProtection="1">
      <protection hidden="1"/>
    </xf>
    <xf numFmtId="0" fontId="1" fillId="0" borderId="161" xfId="2" applyBorder="1" applyProtection="1">
      <protection hidden="1"/>
    </xf>
    <xf numFmtId="0" fontId="30" fillId="0" borderId="161" xfId="2" applyFont="1" applyBorder="1" applyAlignment="1" applyProtection="1">
      <alignment horizontal="right"/>
      <protection hidden="1"/>
    </xf>
    <xf numFmtId="0" fontId="31" fillId="7" borderId="53" xfId="2" applyFont="1" applyFill="1" applyBorder="1" applyAlignment="1" applyProtection="1">
      <alignment vertical="center"/>
      <protection hidden="1"/>
    </xf>
    <xf numFmtId="0" fontId="30" fillId="7" borderId="53" xfId="2" applyFont="1" applyFill="1" applyBorder="1" applyAlignment="1" applyProtection="1">
      <alignment horizontal="right" vertical="center"/>
      <protection hidden="1"/>
    </xf>
    <xf numFmtId="0" fontId="1" fillId="0" borderId="163" xfId="2" applyBorder="1" applyProtection="1">
      <protection hidden="1"/>
    </xf>
    <xf numFmtId="0" fontId="30" fillId="0" borderId="163" xfId="2" applyFont="1" applyBorder="1" applyAlignment="1" applyProtection="1">
      <alignment horizontal="right"/>
      <protection hidden="1"/>
    </xf>
    <xf numFmtId="0" fontId="14" fillId="0" borderId="52" xfId="2" applyFont="1" applyFill="1" applyBorder="1" applyAlignment="1" applyProtection="1">
      <alignment horizontal="center"/>
      <protection locked="0"/>
    </xf>
    <xf numFmtId="0" fontId="14" fillId="0" borderId="76" xfId="2" applyFont="1" applyFill="1" applyBorder="1" applyAlignment="1" applyProtection="1">
      <alignment horizontal="center"/>
      <protection locked="0"/>
    </xf>
    <xf numFmtId="0" fontId="36" fillId="7" borderId="76" xfId="2" applyFont="1" applyFill="1" applyBorder="1" applyAlignment="1" applyProtection="1">
      <alignment horizontal="center"/>
      <protection locked="0"/>
    </xf>
    <xf numFmtId="0" fontId="36" fillId="7" borderId="164" xfId="2" applyFont="1" applyFill="1" applyBorder="1" applyAlignment="1" applyProtection="1">
      <alignment horizontal="center"/>
      <protection locked="0"/>
    </xf>
    <xf numFmtId="0" fontId="34" fillId="7" borderId="72" xfId="2" applyFont="1" applyFill="1" applyBorder="1" applyAlignment="1" applyProtection="1">
      <alignment horizontal="right" vertical="center"/>
      <protection locked="0"/>
    </xf>
    <xf numFmtId="0" fontId="36" fillId="0" borderId="165" xfId="2" applyFont="1" applyBorder="1" applyAlignment="1" applyProtection="1">
      <alignment horizontal="center"/>
      <protection locked="0"/>
    </xf>
    <xf numFmtId="0" fontId="36" fillId="0" borderId="162" xfId="2" applyFont="1" applyBorder="1" applyAlignment="1" applyProtection="1">
      <alignment horizontal="center"/>
      <protection locked="0"/>
    </xf>
    <xf numFmtId="0" fontId="19" fillId="2" borderId="81" xfId="2" applyFont="1" applyFill="1" applyBorder="1" applyProtection="1">
      <protection hidden="1"/>
    </xf>
    <xf numFmtId="0" fontId="19" fillId="2" borderId="129" xfId="2" applyFont="1" applyFill="1" applyBorder="1" applyProtection="1">
      <protection hidden="1"/>
    </xf>
    <xf numFmtId="1" fontId="19" fillId="2" borderId="36" xfId="2" applyNumberFormat="1" applyFont="1" applyFill="1" applyBorder="1" applyProtection="1">
      <protection hidden="1"/>
    </xf>
    <xf numFmtId="1" fontId="19" fillId="2" borderId="130" xfId="2" applyNumberFormat="1" applyFont="1" applyFill="1" applyBorder="1" applyProtection="1">
      <protection hidden="1"/>
    </xf>
    <xf numFmtId="0" fontId="19" fillId="2" borderId="8" xfId="2" applyFont="1" applyFill="1" applyBorder="1" applyProtection="1">
      <protection hidden="1"/>
    </xf>
    <xf numFmtId="2" fontId="19" fillId="2" borderId="9" xfId="2" applyNumberFormat="1" applyFont="1" applyFill="1" applyBorder="1" applyProtection="1">
      <protection hidden="1"/>
    </xf>
    <xf numFmtId="2" fontId="19" fillId="2" borderId="33" xfId="2" applyNumberFormat="1" applyFont="1" applyFill="1" applyBorder="1" applyAlignment="1" applyProtection="1">
      <alignment vertical="center"/>
      <protection hidden="1"/>
    </xf>
    <xf numFmtId="2" fontId="39" fillId="2" borderId="9" xfId="2" applyNumberFormat="1" applyFont="1" applyFill="1" applyBorder="1" applyAlignment="1" applyProtection="1">
      <alignment vertical="center"/>
      <protection hidden="1"/>
    </xf>
    <xf numFmtId="2" fontId="39" fillId="2" borderId="41" xfId="2" applyNumberFormat="1" applyFont="1" applyFill="1" applyBorder="1" applyAlignment="1" applyProtection="1">
      <alignment vertical="center"/>
      <protection hidden="1"/>
    </xf>
    <xf numFmtId="166" fontId="19" fillId="2" borderId="9" xfId="2" applyNumberFormat="1" applyFont="1" applyFill="1" applyBorder="1" applyAlignment="1" applyProtection="1">
      <alignment horizontal="right" vertical="center"/>
      <protection hidden="1"/>
    </xf>
    <xf numFmtId="166" fontId="19" fillId="2" borderId="49" xfId="2" applyNumberFormat="1" applyFont="1" applyFill="1" applyBorder="1" applyAlignment="1" applyProtection="1">
      <alignment horizontal="right" vertical="center"/>
      <protection hidden="1"/>
    </xf>
    <xf numFmtId="166" fontId="19" fillId="2" borderId="48" xfId="2" applyNumberFormat="1" applyFont="1" applyFill="1" applyBorder="1" applyAlignment="1" applyProtection="1">
      <alignment horizontal="right" vertical="center"/>
      <protection hidden="1"/>
    </xf>
    <xf numFmtId="166" fontId="19" fillId="2" borderId="50" xfId="2" applyNumberFormat="1" applyFont="1" applyFill="1" applyBorder="1" applyAlignment="1" applyProtection="1">
      <alignment horizontal="right" vertical="center"/>
      <protection hidden="1"/>
    </xf>
    <xf numFmtId="166" fontId="30" fillId="7" borderId="123" xfId="2" applyNumberFormat="1" applyFont="1" applyFill="1" applyBorder="1" applyAlignment="1" applyProtection="1">
      <alignment vertical="center"/>
      <protection locked="0"/>
    </xf>
    <xf numFmtId="0" fontId="30" fillId="7" borderId="118" xfId="2" applyFont="1" applyFill="1" applyBorder="1" applyAlignment="1" applyProtection="1">
      <alignment vertical="center"/>
      <protection locked="0"/>
    </xf>
    <xf numFmtId="166" fontId="30" fillId="7" borderId="120" xfId="2" applyNumberFormat="1" applyFont="1" applyFill="1" applyBorder="1" applyAlignment="1" applyProtection="1">
      <alignment vertical="center"/>
      <protection locked="0"/>
    </xf>
    <xf numFmtId="0" fontId="42" fillId="7" borderId="102" xfId="2" applyFont="1" applyFill="1" applyBorder="1" applyProtection="1">
      <protection hidden="1"/>
    </xf>
    <xf numFmtId="166" fontId="42" fillId="7" borderId="133" xfId="2" applyNumberFormat="1" applyFont="1" applyFill="1" applyBorder="1" applyProtection="1">
      <protection hidden="1"/>
    </xf>
    <xf numFmtId="166" fontId="30" fillId="7" borderId="118" xfId="2" applyNumberFormat="1" applyFont="1" applyFill="1" applyBorder="1" applyProtection="1">
      <protection locked="0"/>
    </xf>
    <xf numFmtId="2" fontId="43" fillId="7" borderId="57" xfId="2" applyNumberFormat="1" applyFont="1" applyFill="1" applyBorder="1" applyProtection="1">
      <protection hidden="1"/>
    </xf>
    <xf numFmtId="2" fontId="43" fillId="7" borderId="69" xfId="2" applyNumberFormat="1" applyFont="1" applyFill="1" applyBorder="1" applyProtection="1">
      <protection hidden="1"/>
    </xf>
    <xf numFmtId="2" fontId="43" fillId="7" borderId="49" xfId="2" applyNumberFormat="1" applyFont="1" applyFill="1" applyBorder="1" applyProtection="1">
      <protection hidden="1"/>
    </xf>
    <xf numFmtId="2" fontId="43" fillId="7" borderId="56" xfId="2" applyNumberFormat="1" applyFont="1" applyFill="1" applyBorder="1" applyProtection="1">
      <protection hidden="1"/>
    </xf>
    <xf numFmtId="2" fontId="43" fillId="7" borderId="71" xfId="2" applyNumberFormat="1" applyFont="1" applyFill="1" applyBorder="1" applyProtection="1">
      <protection hidden="1"/>
    </xf>
    <xf numFmtId="0" fontId="30" fillId="7" borderId="117" xfId="2" applyFont="1" applyFill="1" applyBorder="1" applyProtection="1">
      <protection locked="0"/>
    </xf>
    <xf numFmtId="0" fontId="30" fillId="7" borderId="120" xfId="2" applyFont="1" applyFill="1" applyBorder="1" applyProtection="1">
      <protection locked="0"/>
    </xf>
    <xf numFmtId="165" fontId="43" fillId="7" borderId="57" xfId="2" applyNumberFormat="1" applyFont="1" applyFill="1" applyBorder="1" applyProtection="1">
      <protection locked="0"/>
    </xf>
    <xf numFmtId="165" fontId="43" fillId="7" borderId="69" xfId="2" applyNumberFormat="1" applyFont="1" applyFill="1" applyBorder="1" applyProtection="1">
      <protection locked="0"/>
    </xf>
    <xf numFmtId="166" fontId="43" fillId="7" borderId="66" xfId="2" applyNumberFormat="1" applyFont="1" applyFill="1" applyBorder="1" applyProtection="1">
      <protection hidden="1"/>
    </xf>
    <xf numFmtId="166" fontId="43" fillId="7" borderId="49" xfId="2" applyNumberFormat="1" applyFont="1" applyFill="1" applyBorder="1" applyProtection="1">
      <protection hidden="1"/>
    </xf>
    <xf numFmtId="0" fontId="42" fillId="7" borderId="48" xfId="2" applyFont="1" applyFill="1" applyBorder="1" applyAlignment="1" applyProtection="1">
      <alignment horizontal="center" vertical="center"/>
      <protection hidden="1"/>
    </xf>
    <xf numFmtId="0" fontId="42" fillId="7" borderId="65" xfId="2" applyFont="1" applyFill="1" applyBorder="1" applyAlignment="1" applyProtection="1">
      <alignment horizontal="center" vertical="center"/>
      <protection hidden="1"/>
    </xf>
    <xf numFmtId="0" fontId="15" fillId="2" borderId="13" xfId="2" applyFont="1" applyFill="1" applyBorder="1" applyAlignment="1" applyProtection="1">
      <alignment horizontal="right" vertical="center"/>
      <protection hidden="1"/>
    </xf>
    <xf numFmtId="2" fontId="15" fillId="2" borderId="14" xfId="2" applyNumberFormat="1" applyFont="1" applyFill="1" applyBorder="1" applyAlignment="1" applyProtection="1">
      <alignment horizontal="right"/>
      <protection locked="0"/>
    </xf>
    <xf numFmtId="2" fontId="15" fillId="2" borderId="15" xfId="2" applyNumberFormat="1" applyFont="1" applyFill="1" applyBorder="1" applyAlignment="1" applyProtection="1">
      <alignment horizontal="right"/>
      <protection locked="0"/>
    </xf>
    <xf numFmtId="0" fontId="7" fillId="0" borderId="61" xfId="2" applyFont="1" applyFill="1" applyBorder="1" applyAlignment="1" applyProtection="1">
      <alignment horizontal="right" vertical="center"/>
      <protection hidden="1"/>
    </xf>
    <xf numFmtId="2" fontId="7" fillId="0" borderId="16" xfId="2" applyNumberFormat="1" applyFont="1" applyFill="1" applyBorder="1" applyProtection="1">
      <protection hidden="1"/>
    </xf>
    <xf numFmtId="2" fontId="7" fillId="0" borderId="17" xfId="2" applyNumberFormat="1" applyFont="1" applyFill="1" applyBorder="1" applyProtection="1">
      <protection hidden="1"/>
    </xf>
    <xf numFmtId="0" fontId="15" fillId="2" borderId="6" xfId="2" applyFont="1" applyFill="1" applyBorder="1" applyAlignment="1" applyProtection="1">
      <alignment horizontal="right" vertical="center"/>
      <protection hidden="1"/>
    </xf>
    <xf numFmtId="166" fontId="15" fillId="2" borderId="19" xfId="2" applyNumberFormat="1" applyFont="1" applyFill="1" applyBorder="1" applyAlignment="1" applyProtection="1">
      <protection locked="0"/>
    </xf>
    <xf numFmtId="166" fontId="15" fillId="2" borderId="18" xfId="2" applyNumberFormat="1" applyFont="1" applyFill="1" applyBorder="1" applyAlignment="1" applyProtection="1">
      <protection locked="0"/>
    </xf>
    <xf numFmtId="0" fontId="19" fillId="2" borderId="6" xfId="2" applyFont="1" applyFill="1" applyBorder="1" applyAlignment="1" applyProtection="1">
      <alignment horizontal="right" vertical="center"/>
      <protection hidden="1"/>
    </xf>
    <xf numFmtId="2" fontId="19" fillId="2" borderId="16" xfId="2" applyNumberFormat="1" applyFont="1" applyFill="1" applyBorder="1" applyAlignment="1" applyProtection="1">
      <protection hidden="1"/>
    </xf>
    <xf numFmtId="2" fontId="19" fillId="2" borderId="17" xfId="2" applyNumberFormat="1" applyFont="1" applyFill="1" applyBorder="1" applyAlignment="1" applyProtection="1">
      <protection hidden="1"/>
    </xf>
    <xf numFmtId="0" fontId="7" fillId="2" borderId="7" xfId="2" applyFont="1" applyFill="1" applyBorder="1" applyAlignment="1" applyProtection="1">
      <alignment horizontal="right" vertical="center"/>
      <protection hidden="1"/>
    </xf>
    <xf numFmtId="0" fontId="44" fillId="2" borderId="20" xfId="2" applyFont="1" applyFill="1" applyBorder="1" applyAlignment="1" applyProtection="1">
      <alignment horizontal="center"/>
      <protection hidden="1"/>
    </xf>
    <xf numFmtId="0" fontId="44" fillId="2" borderId="42" xfId="2" applyFont="1" applyFill="1" applyBorder="1" applyAlignment="1" applyProtection="1">
      <alignment horizontal="center"/>
      <protection hidden="1"/>
    </xf>
    <xf numFmtId="0" fontId="15" fillId="2" borderId="21" xfId="2" applyFont="1" applyFill="1" applyBorder="1" applyAlignment="1" applyProtection="1">
      <alignment horizontal="right"/>
      <protection locked="0"/>
    </xf>
    <xf numFmtId="2" fontId="15" fillId="2" borderId="22" xfId="2" applyNumberFormat="1" applyFont="1" applyFill="1" applyBorder="1" applyAlignment="1" applyProtection="1">
      <alignment horizontal="right"/>
      <protection locked="0"/>
    </xf>
    <xf numFmtId="166" fontId="15" fillId="2" borderId="19" xfId="2" applyNumberFormat="1" applyFont="1" applyFill="1" applyBorder="1" applyProtection="1">
      <protection locked="0"/>
    </xf>
    <xf numFmtId="166" fontId="15" fillId="2" borderId="18" xfId="2" applyNumberFormat="1" applyFont="1" applyFill="1" applyBorder="1" applyProtection="1">
      <protection locked="0"/>
    </xf>
    <xf numFmtId="166" fontId="15" fillId="2" borderId="38" xfId="2" applyNumberFormat="1" applyFont="1" applyFill="1" applyBorder="1" applyAlignment="1" applyProtection="1">
      <protection locked="0"/>
    </xf>
    <xf numFmtId="166" fontId="15" fillId="2" borderId="37" xfId="2" applyNumberFormat="1" applyFont="1" applyFill="1" applyBorder="1" applyAlignment="1" applyProtection="1">
      <protection locked="0"/>
    </xf>
    <xf numFmtId="2" fontId="19" fillId="2" borderId="16" xfId="2" applyNumberFormat="1" applyFont="1" applyFill="1" applyBorder="1" applyProtection="1">
      <protection hidden="1"/>
    </xf>
    <xf numFmtId="2" fontId="19" fillId="2" borderId="17" xfId="2" applyNumberFormat="1" applyFont="1" applyFill="1" applyBorder="1" applyProtection="1">
      <protection hidden="1"/>
    </xf>
    <xf numFmtId="2" fontId="44" fillId="2" borderId="63" xfId="2" applyNumberFormat="1" applyFont="1" applyFill="1" applyBorder="1" applyAlignment="1" applyProtection="1">
      <alignment horizontal="center"/>
      <protection hidden="1"/>
    </xf>
    <xf numFmtId="2" fontId="44" fillId="2" borderId="64" xfId="2" applyNumberFormat="1" applyFont="1" applyFill="1" applyBorder="1" applyAlignment="1" applyProtection="1">
      <alignment horizontal="center"/>
      <protection hidden="1"/>
    </xf>
    <xf numFmtId="0" fontId="30" fillId="2" borderId="110" xfId="2" applyFont="1" applyFill="1" applyBorder="1" applyAlignment="1" applyProtection="1">
      <alignment horizontal="right" vertical="center"/>
      <protection hidden="1"/>
    </xf>
    <xf numFmtId="1" fontId="36" fillId="2" borderId="115" xfId="2" applyNumberFormat="1" applyFont="1" applyFill="1" applyBorder="1" applyAlignment="1" applyProtection="1">
      <alignment horizontal="center"/>
      <protection locked="0"/>
    </xf>
    <xf numFmtId="1" fontId="36" fillId="2" borderId="116" xfId="2" applyNumberFormat="1" applyFont="1" applyFill="1" applyBorder="1" applyAlignment="1" applyProtection="1">
      <alignment horizontal="center"/>
      <protection locked="0"/>
    </xf>
    <xf numFmtId="0" fontId="7" fillId="2" borderId="61" xfId="2" applyFont="1" applyFill="1" applyBorder="1" applyAlignment="1" applyProtection="1">
      <alignment horizontal="right" vertical="center"/>
      <protection hidden="1"/>
    </xf>
    <xf numFmtId="2" fontId="45" fillId="2" borderId="111" xfId="2" applyNumberFormat="1" applyFont="1" applyFill="1" applyBorder="1" applyAlignment="1" applyProtection="1">
      <alignment horizontal="center"/>
      <protection hidden="1"/>
    </xf>
    <xf numFmtId="2" fontId="45" fillId="2" borderId="112" xfId="2" applyNumberFormat="1" applyFont="1" applyFill="1" applyBorder="1" applyAlignment="1" applyProtection="1">
      <alignment horizontal="center"/>
      <protection hidden="1"/>
    </xf>
    <xf numFmtId="0" fontId="7" fillId="2" borderId="62" xfId="2" applyFont="1" applyFill="1" applyBorder="1" applyAlignment="1" applyProtection="1">
      <alignment horizontal="right" vertical="center"/>
      <protection hidden="1"/>
    </xf>
    <xf numFmtId="2" fontId="46" fillId="2" borderId="113" xfId="2" applyNumberFormat="1" applyFont="1" applyFill="1" applyBorder="1" applyAlignment="1" applyProtection="1">
      <alignment horizontal="center"/>
      <protection hidden="1"/>
    </xf>
    <xf numFmtId="2" fontId="46" fillId="2" borderId="114" xfId="2" applyNumberFormat="1" applyFont="1" applyFill="1" applyBorder="1" applyAlignment="1" applyProtection="1">
      <alignment horizontal="center"/>
      <protection hidden="1"/>
    </xf>
    <xf numFmtId="0" fontId="19" fillId="3" borderId="0" xfId="2" applyFont="1" applyFill="1" applyProtection="1">
      <protection hidden="1"/>
    </xf>
    <xf numFmtId="2" fontId="30" fillId="0" borderId="90" xfId="2" applyNumberFormat="1" applyFont="1" applyBorder="1" applyProtection="1">
      <protection locked="0"/>
    </xf>
    <xf numFmtId="2" fontId="30" fillId="0" borderId="91" xfId="2" applyNumberFormat="1" applyFont="1" applyBorder="1" applyProtection="1">
      <protection locked="0"/>
    </xf>
    <xf numFmtId="2" fontId="30" fillId="0" borderId="92" xfId="2" applyNumberFormat="1" applyFont="1" applyBorder="1" applyProtection="1">
      <protection locked="0"/>
    </xf>
    <xf numFmtId="2" fontId="30" fillId="0" borderId="98" xfId="2" applyNumberFormat="1" applyFont="1" applyBorder="1" applyProtection="1">
      <protection locked="0"/>
    </xf>
    <xf numFmtId="2" fontId="30" fillId="0" borderId="104" xfId="2" applyNumberFormat="1" applyFont="1" applyBorder="1" applyProtection="1">
      <protection locked="0"/>
    </xf>
    <xf numFmtId="2" fontId="30" fillId="0" borderId="93" xfId="2" applyNumberFormat="1" applyFont="1" applyBorder="1" applyProtection="1">
      <protection locked="0"/>
    </xf>
    <xf numFmtId="2" fontId="30" fillId="0" borderId="94" xfId="2" applyNumberFormat="1" applyFont="1" applyBorder="1" applyProtection="1">
      <protection locked="0"/>
    </xf>
    <xf numFmtId="2" fontId="30" fillId="0" borderId="99" xfId="2" applyNumberFormat="1" applyFont="1" applyBorder="1" applyProtection="1">
      <protection locked="0"/>
    </xf>
    <xf numFmtId="2" fontId="30" fillId="0" borderId="105" xfId="2" applyNumberFormat="1" applyFont="1" applyBorder="1" applyProtection="1">
      <protection locked="0"/>
    </xf>
    <xf numFmtId="1" fontId="30" fillId="0" borderId="105" xfId="2" applyNumberFormat="1" applyFont="1" applyBorder="1" applyProtection="1">
      <protection locked="0"/>
    </xf>
    <xf numFmtId="1" fontId="30" fillId="0" borderId="94" xfId="2" applyNumberFormat="1" applyFont="1" applyBorder="1" applyProtection="1">
      <protection locked="0"/>
    </xf>
    <xf numFmtId="1" fontId="30" fillId="0" borderId="106" xfId="2" applyNumberFormat="1" applyFont="1" applyBorder="1" applyProtection="1">
      <protection locked="0"/>
    </xf>
    <xf numFmtId="2" fontId="30" fillId="0" borderId="95" xfId="2" applyNumberFormat="1" applyFont="1" applyBorder="1" applyProtection="1">
      <protection locked="0"/>
    </xf>
    <xf numFmtId="2" fontId="30" fillId="0" borderId="96" xfId="2" applyNumberFormat="1" applyFont="1" applyBorder="1" applyProtection="1">
      <protection locked="0"/>
    </xf>
    <xf numFmtId="2" fontId="30" fillId="0" borderId="97" xfId="2" applyNumberFormat="1" applyFont="1" applyBorder="1" applyProtection="1">
      <protection locked="0"/>
    </xf>
    <xf numFmtId="2" fontId="30" fillId="0" borderId="100" xfId="2" applyNumberFormat="1" applyFont="1" applyBorder="1" applyProtection="1">
      <protection locked="0"/>
    </xf>
    <xf numFmtId="1" fontId="30" fillId="0" borderId="107" xfId="2" applyNumberFormat="1" applyFont="1" applyBorder="1" applyProtection="1">
      <protection locked="0"/>
    </xf>
    <xf numFmtId="1" fontId="30" fillId="0" borderId="96" xfId="2" applyNumberFormat="1" applyFont="1" applyBorder="1" applyProtection="1">
      <protection locked="0"/>
    </xf>
    <xf numFmtId="1" fontId="30" fillId="0" borderId="97" xfId="2" applyNumberFormat="1" applyFont="1" applyBorder="1" applyProtection="1">
      <protection locked="0"/>
    </xf>
    <xf numFmtId="1" fontId="30" fillId="0" borderId="108" xfId="2" applyNumberFormat="1" applyFont="1" applyBorder="1" applyProtection="1">
      <protection locked="0"/>
    </xf>
    <xf numFmtId="0" fontId="24" fillId="3" borderId="0" xfId="2" applyFont="1" applyFill="1" applyBorder="1" applyAlignment="1" applyProtection="1">
      <alignment horizontal="right"/>
      <protection hidden="1"/>
    </xf>
    <xf numFmtId="0" fontId="24" fillId="3" borderId="0" xfId="2" applyFont="1" applyFill="1" applyAlignment="1" applyProtection="1">
      <alignment horizontal="right"/>
      <protection hidden="1"/>
    </xf>
    <xf numFmtId="0" fontId="7" fillId="5" borderId="0" xfId="2" applyFont="1" applyFill="1" applyBorder="1" applyAlignment="1" applyProtection="1">
      <alignment horizontal="center" vertical="center" textRotation="90"/>
      <protection hidden="1"/>
    </xf>
    <xf numFmtId="2" fontId="19" fillId="3" borderId="0" xfId="2" applyNumberFormat="1" applyFont="1" applyFill="1" applyBorder="1" applyProtection="1">
      <protection hidden="1"/>
    </xf>
    <xf numFmtId="2" fontId="19" fillId="3" borderId="79" xfId="2" applyNumberFormat="1" applyFont="1" applyFill="1" applyBorder="1" applyProtection="1">
      <protection hidden="1"/>
    </xf>
    <xf numFmtId="0" fontId="7" fillId="3" borderId="0" xfId="2" applyFont="1" applyFill="1" applyBorder="1" applyAlignment="1" applyProtection="1">
      <alignment horizontal="center" vertical="center" textRotation="90"/>
      <protection hidden="1"/>
    </xf>
    <xf numFmtId="2" fontId="19" fillId="3" borderId="89" xfId="2" applyNumberFormat="1" applyFont="1" applyFill="1" applyBorder="1" applyProtection="1">
      <protection hidden="1"/>
    </xf>
    <xf numFmtId="1" fontId="19" fillId="3" borderId="0" xfId="2" applyNumberFormat="1" applyFont="1" applyFill="1" applyBorder="1" applyAlignment="1" applyProtection="1">
      <alignment horizontal="center"/>
      <protection hidden="1"/>
    </xf>
    <xf numFmtId="1" fontId="19" fillId="3" borderId="79" xfId="2" applyNumberFormat="1" applyFont="1" applyFill="1" applyBorder="1" applyAlignment="1" applyProtection="1">
      <alignment horizontal="center"/>
      <protection hidden="1"/>
    </xf>
    <xf numFmtId="0" fontId="1" fillId="3" borderId="2" xfId="2" applyFill="1" applyBorder="1" applyProtection="1">
      <protection hidden="1"/>
    </xf>
    <xf numFmtId="0" fontId="24" fillId="2" borderId="6" xfId="2" applyFont="1" applyFill="1" applyBorder="1" applyAlignment="1" applyProtection="1">
      <alignment horizontal="right" vertical="center"/>
      <protection hidden="1"/>
    </xf>
    <xf numFmtId="0" fontId="24" fillId="2" borderId="7" xfId="2" applyFont="1" applyFill="1" applyBorder="1" applyAlignment="1" applyProtection="1">
      <alignment horizontal="right" vertical="center"/>
      <protection hidden="1"/>
    </xf>
    <xf numFmtId="0" fontId="38" fillId="2" borderId="40" xfId="2" applyFont="1" applyFill="1" applyBorder="1" applyAlignment="1" applyProtection="1">
      <alignment horizontal="right" vertical="center"/>
      <protection hidden="1"/>
    </xf>
    <xf numFmtId="0" fontId="38" fillId="2" borderId="7" xfId="2" applyFont="1" applyFill="1" applyBorder="1" applyAlignment="1" applyProtection="1">
      <alignment horizontal="right" vertical="center"/>
      <protection hidden="1"/>
    </xf>
    <xf numFmtId="0" fontId="38" fillId="2" borderId="6" xfId="2" applyFont="1" applyFill="1" applyBorder="1" applyAlignment="1" applyProtection="1">
      <alignment horizontal="right" vertical="center"/>
      <protection hidden="1"/>
    </xf>
    <xf numFmtId="0" fontId="24" fillId="2" borderId="39" xfId="2" applyFont="1" applyFill="1" applyBorder="1" applyAlignment="1" applyProtection="1">
      <alignment horizontal="right" vertical="center"/>
      <protection hidden="1"/>
    </xf>
    <xf numFmtId="0" fontId="24" fillId="2" borderId="10" xfId="2" applyFont="1" applyFill="1" applyBorder="1" applyAlignment="1" applyProtection="1">
      <alignment horizontal="right" vertical="center"/>
      <protection hidden="1"/>
    </xf>
    <xf numFmtId="0" fontId="40" fillId="7" borderId="122" xfId="2" applyFont="1" applyFill="1" applyBorder="1" applyAlignment="1" applyProtection="1">
      <alignment horizontal="right" vertical="center"/>
      <protection hidden="1"/>
    </xf>
    <xf numFmtId="0" fontId="47" fillId="7" borderId="124" xfId="2" applyFont="1" applyFill="1" applyBorder="1" applyAlignment="1" applyProtection="1">
      <alignment horizontal="right" vertical="center"/>
      <protection hidden="1"/>
    </xf>
    <xf numFmtId="0" fontId="32" fillId="7" borderId="125" xfId="2" applyFont="1" applyFill="1" applyBorder="1" applyAlignment="1" applyProtection="1">
      <alignment horizontal="right" vertical="center"/>
      <protection hidden="1"/>
    </xf>
    <xf numFmtId="0" fontId="47" fillId="7" borderId="121" xfId="2" applyFont="1" applyFill="1" applyBorder="1" applyAlignment="1" applyProtection="1">
      <alignment horizontal="right" vertical="center"/>
      <protection hidden="1"/>
    </xf>
    <xf numFmtId="0" fontId="34" fillId="7" borderId="72" xfId="2" applyFont="1" applyFill="1" applyBorder="1" applyAlignment="1" applyProtection="1">
      <alignment horizontal="right" vertical="center"/>
      <protection hidden="1"/>
    </xf>
    <xf numFmtId="0" fontId="50" fillId="7" borderId="67" xfId="2" applyFont="1" applyFill="1" applyBorder="1" applyAlignment="1" applyProtection="1">
      <alignment horizontal="right" vertical="center"/>
      <protection hidden="1"/>
    </xf>
    <xf numFmtId="0" fontId="34" fillId="7" borderId="70" xfId="2" applyFont="1" applyFill="1" applyBorder="1" applyAlignment="1" applyProtection="1">
      <alignment horizontal="right" vertical="center"/>
      <protection hidden="1"/>
    </xf>
    <xf numFmtId="0" fontId="52" fillId="7" borderId="119" xfId="2" applyFont="1" applyFill="1" applyBorder="1" applyAlignment="1" applyProtection="1">
      <alignment horizontal="right" vertical="center"/>
      <protection hidden="1"/>
    </xf>
    <xf numFmtId="0" fontId="34" fillId="7" borderId="67" xfId="2" applyFont="1" applyFill="1" applyBorder="1" applyAlignment="1" applyProtection="1">
      <alignment horizontal="right" vertical="center"/>
      <protection hidden="1"/>
    </xf>
    <xf numFmtId="0" fontId="41" fillId="7" borderId="68" xfId="2" applyFont="1" applyFill="1" applyBorder="1" applyAlignment="1" applyProtection="1">
      <alignment horizontal="right" vertical="center"/>
      <protection hidden="1"/>
    </xf>
    <xf numFmtId="0" fontId="19" fillId="4" borderId="33" xfId="2" applyFont="1" applyFill="1" applyBorder="1" applyAlignment="1" applyProtection="1">
      <alignment horizontal="center" vertical="center"/>
      <protection hidden="1"/>
    </xf>
    <xf numFmtId="0" fontId="19" fillId="4" borderId="43" xfId="2" applyFont="1" applyFill="1" applyBorder="1" applyAlignment="1" applyProtection="1">
      <alignment horizontal="center" vertical="center"/>
      <protection hidden="1"/>
    </xf>
    <xf numFmtId="0" fontId="19" fillId="4" borderId="8" xfId="2" applyFont="1" applyFill="1" applyBorder="1" applyAlignment="1" applyProtection="1">
      <alignment horizontal="center" vertical="center"/>
      <protection hidden="1"/>
    </xf>
    <xf numFmtId="2" fontId="30" fillId="0" borderId="169" xfId="2" applyNumberFormat="1" applyFont="1" applyBorder="1" applyProtection="1">
      <protection locked="0"/>
    </xf>
    <xf numFmtId="2" fontId="30" fillId="0" borderId="170" xfId="2" applyNumberFormat="1" applyFont="1" applyBorder="1" applyProtection="1">
      <protection locked="0"/>
    </xf>
    <xf numFmtId="1" fontId="30" fillId="0" borderId="170" xfId="2" applyNumberFormat="1" applyFont="1" applyBorder="1" applyProtection="1">
      <protection locked="0"/>
    </xf>
    <xf numFmtId="2" fontId="39" fillId="2" borderId="8" xfId="2" applyNumberFormat="1" applyFont="1" applyFill="1" applyBorder="1" applyAlignment="1" applyProtection="1">
      <alignment horizontal="right" vertical="center"/>
      <protection hidden="1"/>
    </xf>
    <xf numFmtId="2" fontId="39" fillId="2" borderId="9" xfId="2" applyNumberFormat="1" applyFont="1" applyFill="1" applyBorder="1" applyAlignment="1" applyProtection="1">
      <alignment horizontal="right" vertical="center"/>
      <protection hidden="1"/>
    </xf>
    <xf numFmtId="2" fontId="39" fillId="2" borderId="33" xfId="2" applyNumberFormat="1" applyFont="1" applyFill="1" applyBorder="1" applyAlignment="1" applyProtection="1">
      <alignment horizontal="right" vertical="center"/>
      <protection hidden="1"/>
    </xf>
    <xf numFmtId="2" fontId="19" fillId="2" borderId="47" xfId="2" applyNumberFormat="1" applyFont="1" applyFill="1" applyBorder="1" applyAlignment="1" applyProtection="1">
      <alignment horizontal="right" vertical="center"/>
      <protection hidden="1"/>
    </xf>
    <xf numFmtId="2" fontId="19" fillId="2" borderId="9" xfId="2" applyNumberFormat="1" applyFont="1" applyFill="1" applyBorder="1" applyAlignment="1" applyProtection="1">
      <alignment horizontal="right" vertical="center"/>
      <protection hidden="1"/>
    </xf>
    <xf numFmtId="2" fontId="43" fillId="7" borderId="66" xfId="2" applyNumberFormat="1" applyFont="1" applyFill="1" applyBorder="1" applyProtection="1">
      <protection hidden="1"/>
    </xf>
    <xf numFmtId="0" fontId="12" fillId="0" borderId="166" xfId="2" applyFont="1" applyBorder="1" applyAlignment="1" applyProtection="1">
      <alignment horizontal="center" vertical="center" textRotation="90"/>
      <protection hidden="1"/>
    </xf>
    <xf numFmtId="0" fontId="12" fillId="0" borderId="167" xfId="2" applyFont="1" applyBorder="1" applyAlignment="1" applyProtection="1">
      <alignment horizontal="center" vertical="center" textRotation="90"/>
      <protection hidden="1"/>
    </xf>
    <xf numFmtId="0" fontId="12" fillId="0" borderId="168" xfId="2" applyFont="1" applyBorder="1" applyAlignment="1" applyProtection="1">
      <alignment horizontal="center" vertical="center" textRotation="90"/>
      <protection hidden="1"/>
    </xf>
    <xf numFmtId="0" fontId="36" fillId="0" borderId="135" xfId="2" applyFont="1" applyBorder="1" applyAlignment="1" applyProtection="1">
      <alignment horizontal="center"/>
      <protection locked="0"/>
    </xf>
    <xf numFmtId="0" fontId="36" fillId="0" borderId="149" xfId="2" applyFont="1" applyBorder="1" applyAlignment="1" applyProtection="1">
      <alignment horizontal="center"/>
      <protection locked="0"/>
    </xf>
    <xf numFmtId="0" fontId="36" fillId="0" borderId="150" xfId="2" applyFont="1" applyBorder="1" applyAlignment="1" applyProtection="1">
      <alignment horizontal="center"/>
      <protection locked="0"/>
    </xf>
    <xf numFmtId="0" fontId="36" fillId="0" borderId="151" xfId="2" applyFont="1" applyBorder="1" applyAlignment="1" applyProtection="1">
      <alignment horizontal="center"/>
      <protection locked="0"/>
    </xf>
    <xf numFmtId="49" fontId="30" fillId="7" borderId="26" xfId="2" applyNumberFormat="1" applyFont="1" applyFill="1" applyBorder="1" applyAlignment="1" applyProtection="1">
      <alignment horizontal="left"/>
      <protection locked="0"/>
    </xf>
    <xf numFmtId="49" fontId="30" fillId="7" borderId="85" xfId="2" applyNumberFormat="1" applyFont="1" applyFill="1" applyBorder="1" applyAlignment="1" applyProtection="1">
      <alignment horizontal="left"/>
      <protection locked="0"/>
    </xf>
    <xf numFmtId="49" fontId="30" fillId="7" borderId="0" xfId="2" applyNumberFormat="1" applyFont="1" applyFill="1" applyBorder="1" applyAlignment="1" applyProtection="1">
      <alignment horizontal="left"/>
      <protection locked="0"/>
    </xf>
    <xf numFmtId="49" fontId="30" fillId="7" borderId="136" xfId="2" applyNumberFormat="1" applyFont="1" applyFill="1" applyBorder="1" applyAlignment="1" applyProtection="1">
      <alignment horizontal="left"/>
      <protection locked="0"/>
    </xf>
    <xf numFmtId="0" fontId="29" fillId="7" borderId="140" xfId="2" applyFont="1" applyFill="1" applyBorder="1" applyAlignment="1" applyProtection="1">
      <alignment horizontal="center" vertical="center" wrapText="1"/>
      <protection hidden="1"/>
    </xf>
    <xf numFmtId="0" fontId="29" fillId="7" borderId="141" xfId="2" applyFont="1" applyFill="1" applyBorder="1" applyAlignment="1" applyProtection="1">
      <alignment horizontal="center" vertical="center" wrapText="1"/>
      <protection hidden="1"/>
    </xf>
    <xf numFmtId="0" fontId="29" fillId="7" borderId="142" xfId="2" applyFont="1" applyFill="1" applyBorder="1" applyAlignment="1" applyProtection="1">
      <alignment horizontal="center" vertical="center" wrapText="1"/>
      <protection hidden="1"/>
    </xf>
    <xf numFmtId="0" fontId="29" fillId="7" borderId="143" xfId="2" applyFont="1" applyFill="1" applyBorder="1" applyAlignment="1" applyProtection="1">
      <alignment horizontal="center" vertical="center" wrapText="1"/>
      <protection hidden="1"/>
    </xf>
    <xf numFmtId="49" fontId="31" fillId="7" borderId="0" xfId="2" applyNumberFormat="1" applyFont="1" applyFill="1" applyBorder="1" applyAlignment="1" applyProtection="1">
      <alignment horizontal="left" vertical="top" wrapText="1"/>
      <protection locked="0"/>
    </xf>
    <xf numFmtId="49" fontId="31" fillId="7" borderId="137" xfId="2" applyNumberFormat="1" applyFont="1" applyFill="1" applyBorder="1" applyAlignment="1" applyProtection="1">
      <alignment horizontal="left" vertical="top" wrapText="1"/>
      <protection locked="0"/>
    </xf>
    <xf numFmtId="49" fontId="31" fillId="7" borderId="26" xfId="2" applyNumberFormat="1" applyFont="1" applyFill="1" applyBorder="1" applyAlignment="1" applyProtection="1">
      <alignment horizontal="left" vertical="top" wrapText="1"/>
      <protection locked="0"/>
    </xf>
    <xf numFmtId="49" fontId="31" fillId="7" borderId="138" xfId="2" applyNumberFormat="1" applyFont="1" applyFill="1" applyBorder="1" applyAlignment="1" applyProtection="1">
      <alignment horizontal="left" vertical="top" wrapText="1"/>
      <protection locked="0"/>
    </xf>
    <xf numFmtId="49" fontId="30" fillId="7" borderId="0" xfId="2" applyNumberFormat="1" applyFont="1" applyFill="1" applyBorder="1" applyAlignment="1" applyProtection="1">
      <alignment horizontal="left" vertical="top" wrapText="1"/>
      <protection locked="0"/>
    </xf>
    <xf numFmtId="49" fontId="30" fillId="7" borderId="80" xfId="2" applyNumberFormat="1" applyFont="1" applyFill="1" applyBorder="1" applyAlignment="1" applyProtection="1">
      <alignment horizontal="left" vertical="top" wrapText="1"/>
      <protection locked="0"/>
    </xf>
    <xf numFmtId="49" fontId="30" fillId="7" borderId="26" xfId="2" applyNumberFormat="1" applyFont="1" applyFill="1" applyBorder="1" applyAlignment="1" applyProtection="1">
      <alignment horizontal="left" vertical="top" wrapText="1"/>
      <protection locked="0"/>
    </xf>
    <xf numFmtId="49" fontId="30" fillId="7" borderId="139" xfId="2" applyNumberFormat="1" applyFont="1" applyFill="1" applyBorder="1" applyAlignment="1" applyProtection="1">
      <alignment horizontal="left" vertical="top" wrapText="1"/>
      <protection locked="0"/>
    </xf>
    <xf numFmtId="49" fontId="30" fillId="7" borderId="123" xfId="2" applyNumberFormat="1" applyFont="1" applyFill="1" applyBorder="1" applyAlignment="1" applyProtection="1">
      <alignment horizontal="left"/>
      <protection locked="0"/>
    </xf>
    <xf numFmtId="0" fontId="7" fillId="0" borderId="134" xfId="2" applyFont="1" applyBorder="1" applyAlignment="1" applyProtection="1">
      <alignment horizontal="center"/>
      <protection hidden="1"/>
    </xf>
    <xf numFmtId="0" fontId="7" fillId="0" borderId="131" xfId="2" applyFont="1" applyBorder="1" applyAlignment="1" applyProtection="1">
      <alignment horizontal="center"/>
      <protection hidden="1"/>
    </xf>
    <xf numFmtId="0" fontId="7" fillId="0" borderId="132" xfId="2" applyFont="1" applyBorder="1" applyAlignment="1" applyProtection="1">
      <alignment horizontal="center"/>
      <protection hidden="1"/>
    </xf>
    <xf numFmtId="0" fontId="29" fillId="2" borderId="140" xfId="2" applyFont="1" applyFill="1" applyBorder="1" applyAlignment="1" applyProtection="1">
      <alignment horizontal="center" vertical="center" wrapText="1"/>
      <protection hidden="1"/>
    </xf>
    <xf numFmtId="0" fontId="29" fillId="2" borderId="146" xfId="2" applyFont="1" applyFill="1" applyBorder="1" applyAlignment="1" applyProtection="1">
      <alignment horizontal="center" vertical="center" wrapText="1"/>
      <protection hidden="1"/>
    </xf>
    <xf numFmtId="0" fontId="29" fillId="2" borderId="142" xfId="2" applyFont="1" applyFill="1" applyBorder="1" applyAlignment="1" applyProtection="1">
      <alignment horizontal="center" vertical="center" wrapText="1"/>
      <protection hidden="1"/>
    </xf>
    <xf numFmtId="0" fontId="29" fillId="2" borderId="147" xfId="2" applyFont="1" applyFill="1" applyBorder="1" applyAlignment="1" applyProtection="1">
      <alignment horizontal="center" vertical="center" wrapText="1"/>
      <protection hidden="1"/>
    </xf>
    <xf numFmtId="0" fontId="1" fillId="0" borderId="0" xfId="2" applyAlignment="1">
      <alignment horizontal="center" vertical="center" textRotation="90"/>
    </xf>
    <xf numFmtId="0" fontId="1" fillId="0" borderId="26" xfId="2" applyBorder="1" applyAlignment="1">
      <alignment horizontal="center" vertical="center" textRotation="90"/>
    </xf>
    <xf numFmtId="0" fontId="1" fillId="0" borderId="75" xfId="2" applyBorder="1" applyAlignment="1">
      <alignment horizontal="center" vertical="center" textRotation="90"/>
    </xf>
    <xf numFmtId="0" fontId="1" fillId="0" borderId="0" xfId="2" applyBorder="1" applyAlignment="1">
      <alignment horizontal="center" vertical="center" textRotation="90"/>
    </xf>
    <xf numFmtId="0" fontId="1" fillId="0" borderId="0" xfId="2" applyAlignment="1">
      <alignment horizontal="center"/>
    </xf>
    <xf numFmtId="166" fontId="30" fillId="7" borderId="120" xfId="2" applyNumberFormat="1" applyFont="1" applyFill="1" applyBorder="1" applyProtection="1">
      <protection locked="0"/>
    </xf>
    <xf numFmtId="165" fontId="28" fillId="6" borderId="11" xfId="2" applyNumberFormat="1" applyFont="1" applyFill="1" applyBorder="1" applyProtection="1">
      <protection hidden="1"/>
    </xf>
    <xf numFmtId="0" fontId="29" fillId="6" borderId="0" xfId="2" applyFont="1" applyFill="1" applyBorder="1" applyAlignment="1" applyProtection="1">
      <alignment vertical="center"/>
      <protection hidden="1"/>
    </xf>
    <xf numFmtId="0" fontId="33" fillId="6" borderId="0" xfId="2" applyFont="1" applyFill="1" applyBorder="1" applyAlignment="1" applyProtection="1">
      <alignment horizontal="center"/>
      <protection hidden="1"/>
    </xf>
    <xf numFmtId="0" fontId="19" fillId="2" borderId="171" xfId="2" applyFont="1" applyFill="1" applyBorder="1" applyProtection="1">
      <protection hidden="1"/>
    </xf>
    <xf numFmtId="2" fontId="19" fillId="2" borderId="172" xfId="2" applyNumberFormat="1" applyFont="1" applyFill="1" applyBorder="1" applyProtection="1">
      <protection hidden="1"/>
    </xf>
    <xf numFmtId="2" fontId="19" fillId="2" borderId="173" xfId="2" applyNumberFormat="1" applyFont="1" applyFill="1" applyBorder="1" applyAlignment="1" applyProtection="1">
      <alignment vertical="center"/>
      <protection hidden="1"/>
    </xf>
    <xf numFmtId="2" fontId="39" fillId="2" borderId="172" xfId="2" applyNumberFormat="1" applyFont="1" applyFill="1" applyBorder="1" applyAlignment="1" applyProtection="1">
      <alignment vertical="center"/>
      <protection hidden="1"/>
    </xf>
    <xf numFmtId="2" fontId="39" fillId="2" borderId="174" xfId="2" applyNumberFormat="1" applyFont="1" applyFill="1" applyBorder="1" applyAlignment="1" applyProtection="1">
      <alignment vertical="center"/>
      <protection hidden="1"/>
    </xf>
    <xf numFmtId="2" fontId="39" fillId="2" borderId="175" xfId="2" applyNumberFormat="1" applyFont="1" applyFill="1" applyBorder="1" applyAlignment="1" applyProtection="1">
      <alignment horizontal="right" vertical="center"/>
      <protection hidden="1"/>
    </xf>
    <xf numFmtId="2" fontId="39" fillId="2" borderId="172" xfId="2" applyNumberFormat="1" applyFont="1" applyFill="1" applyBorder="1" applyAlignment="1" applyProtection="1">
      <alignment horizontal="right" vertical="center"/>
      <protection hidden="1"/>
    </xf>
    <xf numFmtId="2" fontId="39" fillId="2" borderId="173" xfId="2" applyNumberFormat="1" applyFont="1" applyFill="1" applyBorder="1" applyAlignment="1" applyProtection="1">
      <alignment horizontal="right" vertical="center"/>
      <protection hidden="1"/>
    </xf>
    <xf numFmtId="2" fontId="19" fillId="2" borderId="176" xfId="2" applyNumberFormat="1" applyFont="1" applyFill="1" applyBorder="1" applyAlignment="1" applyProtection="1">
      <alignment horizontal="right" vertical="center"/>
      <protection hidden="1"/>
    </xf>
    <xf numFmtId="2" fontId="19" fillId="2" borderId="172" xfId="2" applyNumberFormat="1" applyFont="1" applyFill="1" applyBorder="1" applyAlignment="1" applyProtection="1">
      <alignment horizontal="right" vertical="center"/>
      <protection hidden="1"/>
    </xf>
    <xf numFmtId="166" fontId="19" fillId="2" borderId="172" xfId="2" applyNumberFormat="1" applyFont="1" applyFill="1" applyBorder="1" applyAlignment="1" applyProtection="1">
      <alignment horizontal="right" vertical="center"/>
      <protection hidden="1"/>
    </xf>
  </cellXfs>
  <cellStyles count="3">
    <cellStyle name="Hyperlink" xfId="1" builtinId="8"/>
    <cellStyle name="Normal" xfId="0" builtinId="0"/>
    <cellStyle name="Normal 2" xfId="2"/>
  </cellStyles>
  <dxfs count="8">
    <dxf>
      <font>
        <b/>
        <i val="0"/>
        <color rgb="FFF204B4"/>
      </font>
    </dxf>
    <dxf>
      <font>
        <b/>
        <i val="0"/>
        <color rgb="FF00B050"/>
      </font>
    </dxf>
    <dxf>
      <font>
        <b/>
        <i val="0"/>
        <color rgb="FFCC0066"/>
      </font>
    </dxf>
    <dxf>
      <font>
        <b/>
        <i val="0"/>
        <color rgb="FFF204B4"/>
      </font>
    </dxf>
    <dxf>
      <font>
        <b/>
        <i val="0"/>
        <color rgb="FF00B050"/>
      </font>
    </dxf>
    <dxf>
      <font>
        <b/>
        <i val="0"/>
        <color rgb="FFCC0066"/>
      </font>
    </dxf>
    <dxf>
      <font>
        <b/>
        <i val="0"/>
        <color rgb="FF00B05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'Precision '!$Z$5</c:f>
          <c:strCache>
            <c:ptCount val="1"/>
          </c:strCache>
        </c:strRef>
      </c:tx>
      <c:layout>
        <c:manualLayout>
          <c:xMode val="edge"/>
          <c:yMode val="edge"/>
          <c:x val="0.43074342295841783"/>
          <c:y val="2.93501639143355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n-US"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761939085610207"/>
          <c:y val="0.12159354034317102"/>
          <c:w val="0.75238270178268818"/>
          <c:h val="0.748429205215714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'Precision '!$C$21</c:f>
              <c:strCache>
                <c:ptCount val="1"/>
                <c:pt idx="0">
                  <c:v>Group mean: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 Calc'!$C$35:$L$35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'P Calc'!$C$35:$L$35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'P Calc'!$M$13:$M$22</c:f>
              <c:numCache>
                <c:formatCode>General</c:formatCode>
                <c:ptCount val="10"/>
                <c:pt idx="0" formatCode="0.00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Calc'!$C$3:$L$3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ser>
          <c:idx val="6"/>
          <c:order val="1"/>
          <c:tx>
            <c:strRef>
              <c:f>'P Calc'!$Y$16</c:f>
              <c:strCache>
                <c:ptCount val="1"/>
                <c:pt idx="0">
                  <c:v>Found mean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'P Calc'!$X$17:$X$26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Calc'!$Y$17:$Y$26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ser>
          <c:idx val="5"/>
          <c:order val="2"/>
          <c:tx>
            <c:strRef>
              <c:f>'P Calc'!$Z$16</c:f>
              <c:strCache>
                <c:ptCount val="1"/>
                <c:pt idx="0">
                  <c:v>Found ±2sd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none"/>
          </c:marker>
          <c:xVal>
            <c:numRef>
              <c:f>'P Calc'!$X$17:$X$26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Calc'!$Z$17:$Z$26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ser>
          <c:idx val="6"/>
          <c:order val="3"/>
          <c:tx>
            <c:strRef>
              <c:f>'P Calc'!$AA$16</c:f>
              <c:strCache>
                <c:ptCount val="1"/>
                <c:pt idx="0">
                  <c:v>Found -2sd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ysDash"/>
            </a:ln>
          </c:spPr>
          <c:marker>
            <c:symbol val="none"/>
          </c:marker>
          <c:xVal>
            <c:numRef>
              <c:f>'P Calc'!$X$17:$X$26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Calc'!$AA$17:$AA$26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ser>
          <c:idx val="1"/>
          <c:order val="4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Calc'!$C$52:$C$61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Calc'!$C$41:$C$50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2"/>
          <c:order val="5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Calc'!$D$52:$D$61</c:f>
              <c:numCache>
                <c:formatCode>0.0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Calc'!$D$41:$D$50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3"/>
          <c:order val="6"/>
          <c:tx>
            <c:v>Grupp 3</c:v>
          </c:tx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Calc'!$E$52:$E$61</c:f>
              <c:numCache>
                <c:formatCode>0.0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Calc'!$E$41:$E$50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4"/>
          <c:order val="7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Calc'!$G$52:$G$61</c:f>
              <c:numCache>
                <c:formatCode>0.0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Calc'!$G$41:$G$50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7"/>
          <c:order val="8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Calc'!$H$52:$H$61</c:f>
              <c:numCache>
                <c:formatCode>0.0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Calc'!$H$41:$H$50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8"/>
          <c:order val="9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Calc'!$I$52:$I$61</c:f>
              <c:numCache>
                <c:formatCode>0.0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Calc'!$I$41:$I$50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9"/>
          <c:order val="10"/>
          <c:spPr>
            <a:ln w="28575">
              <a:noFill/>
            </a:ln>
          </c:spPr>
          <c:marker>
            <c:symbol val="circle"/>
            <c:size val="2"/>
            <c:spPr>
              <a:ln>
                <a:solidFill>
                  <a:srgbClr val="FF0000"/>
                </a:solidFill>
              </a:ln>
            </c:spPr>
          </c:marker>
          <c:xVal>
            <c:numRef>
              <c:f>'P Calc'!$J$52:$J$61</c:f>
              <c:numCache>
                <c:formatCode>0.0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Calc'!$J$41:$J$50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10"/>
          <c:order val="11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Calc'!$K$52:$K$61</c:f>
              <c:numCache>
                <c:formatCode>0.0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Calc'!$K$41:$K$50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11"/>
          <c:order val="12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Calc'!$L$52:$L$61</c:f>
              <c:numCache>
                <c:formatCode>0.0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Calc'!$L$41:$L$50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12"/>
          <c:order val="13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Calc'!$F$52:$F$61</c:f>
              <c:numCache>
                <c:formatCode>0.0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Calc'!$F$41:$F$50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13"/>
          <c:order val="14"/>
          <c:tx>
            <c:v>Target</c:v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strRef>
              <c:f>'P Calc'!$I$26:$I$27</c:f>
              <c:strCache>
                <c:ptCount val="2"/>
                <c:pt idx="1">
                  <c:v>0.00</c:v>
                </c:pt>
              </c:strCache>
            </c:strRef>
          </c:xVal>
          <c:yVal>
            <c:numRef>
              <c:f>'P Calc'!$I$24:$I$25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4"/>
          <c:order val="15"/>
          <c:tx>
            <c:v>target+</c:v>
          </c:tx>
          <c:spPr>
            <a:ln w="952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strRef>
              <c:f>'P Calc'!$I$26:$I$27</c:f>
              <c:strCache>
                <c:ptCount val="2"/>
                <c:pt idx="1">
                  <c:v>0.00</c:v>
                </c:pt>
              </c:strCache>
            </c:strRef>
          </c:xVal>
          <c:yVal>
            <c:numRef>
              <c:f>'P Calc'!$I$28:$I$29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5"/>
          <c:order val="16"/>
          <c:tx>
            <c:v>target -</c:v>
          </c:tx>
          <c:spPr>
            <a:ln w="952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strRef>
              <c:f>'P Calc'!$I$26:$I$27</c:f>
              <c:strCache>
                <c:ptCount val="2"/>
                <c:pt idx="1">
                  <c:v>0.00</c:v>
                </c:pt>
              </c:strCache>
            </c:strRef>
          </c:xVal>
          <c:yVal>
            <c:numRef>
              <c:f>'P Calc'!$I$30:$I$31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5699200"/>
        <c:axId val="275701120"/>
      </c:scatterChart>
      <c:valAx>
        <c:axId val="275699200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lang="sv-SE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Series</a:t>
                </a:r>
              </a:p>
            </c:rich>
          </c:tx>
          <c:layout>
            <c:manualLayout>
              <c:xMode val="edge"/>
              <c:yMode val="edge"/>
              <c:x val="0.47142952448669667"/>
              <c:y val="0.92662663276039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5701120"/>
        <c:crosses val="autoZero"/>
        <c:crossBetween val="midCat"/>
        <c:majorUnit val="1"/>
      </c:valAx>
      <c:valAx>
        <c:axId val="275701120"/>
        <c:scaling>
          <c:orientation val="minMax"/>
        </c:scaling>
        <c:delete val="0"/>
        <c:axPos val="l"/>
        <c:title>
          <c:tx>
            <c:strRef>
              <c:f>'Precision '!$E$58</c:f>
              <c:strCache>
                <c:ptCount val="1"/>
                <c:pt idx="0">
                  <c:v>Mean ± SEM</c:v>
                </c:pt>
              </c:strCache>
            </c:strRef>
          </c:tx>
          <c:layout>
            <c:manualLayout>
              <c:xMode val="edge"/>
              <c:yMode val="edge"/>
              <c:x val="3.33335088966722E-2"/>
              <c:y val="0.45492754067220198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lang="en-US" sz="12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5699200"/>
        <c:crosses val="autoZero"/>
        <c:crossBetween val="midCat"/>
      </c:valAx>
      <c:spPr>
        <a:gradFill rotWithShape="0">
          <a:gsLst>
            <a:gs pos="0">
              <a:srgbClr val="FFFF99"/>
            </a:gs>
            <a:gs pos="100000">
              <a:srgbClr val="99CC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3399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35" b="0" i="0" u="none" strike="noStrike" baseline="0">
                <a:solidFill>
                  <a:srgbClr val="3399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5"/>
        <c:delete val="1"/>
      </c:legendEntry>
      <c:legendEntry>
        <c:idx val="16"/>
        <c:delete val="1"/>
      </c:legendEntry>
      <c:layout>
        <c:manualLayout>
          <c:xMode val="edge"/>
          <c:yMode val="edge"/>
          <c:x val="0.79987780791615093"/>
          <c:y val="2.8055189599354574E-2"/>
          <c:w val="0.17928651059085854"/>
          <c:h val="0.1466433816395519"/>
        </c:manualLayout>
      </c:layout>
      <c:overlay val="0"/>
      <c:spPr>
        <a:solidFill>
          <a:schemeClr val="bg1"/>
        </a:solidFill>
        <a:ln>
          <a:solidFill>
            <a:srgbClr val="FF0000"/>
          </a:solidFill>
        </a:ln>
      </c:spPr>
      <c:txPr>
        <a:bodyPr/>
        <a:lstStyle/>
        <a:p>
          <a:pPr>
            <a:defRPr lang="sv-SE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'Precision '!$AA$5</c:f>
          <c:strCache>
            <c:ptCount val="1"/>
          </c:strCache>
        </c:strRef>
      </c:tx>
      <c:layout>
        <c:manualLayout>
          <c:xMode val="edge"/>
          <c:yMode val="edge"/>
          <c:x val="0.42288557213930394"/>
          <c:y val="2.92886884285095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n-US"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00034877313412"/>
          <c:y val="0.11087877435152002"/>
          <c:w val="0.7428588701145713"/>
          <c:h val="0.75523089699809942"/>
        </c:manualLayout>
      </c:layout>
      <c:scatterChart>
        <c:scatterStyle val="lineMarker"/>
        <c:varyColors val="0"/>
        <c:ser>
          <c:idx val="0"/>
          <c:order val="0"/>
          <c:tx>
            <c:strRef>
              <c:f>'Precision '!$C$21</c:f>
              <c:strCache>
                <c:ptCount val="1"/>
                <c:pt idx="0">
                  <c:v>Group mean: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 Calc'!$C$38:$L$38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plus>
            <c:minus>
              <c:numRef>
                <c:f>'P Calc'!$C$38:$L$38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</c:numCache>
              </c:numRef>
            </c:minus>
            <c:spPr>
              <a:ln w="127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'P Calc'!$M$23:$M$32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'Precision '!$N$21:$W$21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ser>
          <c:idx val="6"/>
          <c:order val="1"/>
          <c:tx>
            <c:strRef>
              <c:f>'P Calc'!$Y$16</c:f>
              <c:strCache>
                <c:ptCount val="1"/>
                <c:pt idx="0">
                  <c:v>Found mean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'P Calc'!$X$27:$X$36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Calc'!$Y$27:$Y$36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'P Calc'!$Z$16</c:f>
              <c:strCache>
                <c:ptCount val="1"/>
                <c:pt idx="0">
                  <c:v>Found ±2sd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none"/>
          </c:marker>
          <c:xVal>
            <c:numRef>
              <c:f>'P Calc'!$X$27:$X$36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Calc'!$Z$27:$Z$36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'P Calc'!$AA$16</c:f>
              <c:strCache>
                <c:ptCount val="1"/>
                <c:pt idx="0">
                  <c:v>Found -2sd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none"/>
          </c:marker>
          <c:xVal>
            <c:numRef>
              <c:f>'P Calc'!$X$27:$X$36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Calc'!$AA$27:$AA$36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</c:ser>
        <c:ser>
          <c:idx val="3"/>
          <c:order val="4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Calc'!$M$52:$M$61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Calc'!$M$41:$M$50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4"/>
          <c:order val="5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Calc'!$N$52:$N$61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Calc'!$N$41:$N$50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5"/>
          <c:order val="6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Calc'!$O$52:$O$61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Calc'!$O$41:$O$50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7"/>
          <c:order val="7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Calc'!$P$52:$P$61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Calc'!$P$41:$P$50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8"/>
          <c:order val="8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Calc'!$Q$52:$Q$61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Calc'!$Q$41:$Q$50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9"/>
          <c:order val="9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Calc'!$R$52:$R$61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Calc'!$R$41:$R$50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10"/>
          <c:order val="10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Calc'!$S$52:$S$61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Calc'!$S$41:$S$50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11"/>
          <c:order val="11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Calc'!$T$52:$T$61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Calc'!$T$41:$T$50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12"/>
          <c:order val="12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Calc'!$U$52:$U$61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Calc'!$U$41:$U$50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13"/>
          <c:order val="13"/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 Calc'!$V$52:$V$61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xVal>
          <c:yVal>
            <c:numRef>
              <c:f>'P Calc'!$V$41:$V$50</c:f>
              <c:numCache>
                <c:formatCode>0.00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yVal>
          <c:smooth val="0"/>
        </c:ser>
        <c:ser>
          <c:idx val="14"/>
          <c:order val="14"/>
          <c:tx>
            <c:v>target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strRef>
              <c:f>'P Calc'!$J$26:$J$27</c:f>
              <c:strCache>
                <c:ptCount val="2"/>
                <c:pt idx="1">
                  <c:v>0.00</c:v>
                </c:pt>
              </c:strCache>
            </c:strRef>
          </c:xVal>
          <c:yVal>
            <c:numRef>
              <c:f>'P Calc'!$J$24:$J$25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v>Target +</c:v>
          </c:tx>
          <c:spPr>
            <a:ln w="952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strRef>
              <c:f>'P Calc'!$J$26:$J$27</c:f>
              <c:strCache>
                <c:ptCount val="2"/>
                <c:pt idx="1">
                  <c:v>0.00</c:v>
                </c:pt>
              </c:strCache>
            </c:strRef>
          </c:xVal>
          <c:yVal>
            <c:numRef>
              <c:f>'P Calc'!$J$28:$J$29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v>target-</c:v>
          </c:tx>
          <c:spPr>
            <a:ln w="952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strRef>
              <c:f>'P Calc'!$J$26:$J$27</c:f>
              <c:strCache>
                <c:ptCount val="2"/>
                <c:pt idx="1">
                  <c:v>0.00</c:v>
                </c:pt>
              </c:strCache>
            </c:strRef>
          </c:xVal>
          <c:yVal>
            <c:numRef>
              <c:f>'P Calc'!$J$30:$J$31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5833216"/>
        <c:axId val="275835136"/>
      </c:scatterChart>
      <c:valAx>
        <c:axId val="27583321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lang="sv-SE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Series</a:t>
                </a:r>
              </a:p>
            </c:rich>
          </c:tx>
          <c:layout>
            <c:manualLayout>
              <c:xMode val="edge"/>
              <c:yMode val="edge"/>
              <c:x val="0.46904863260251672"/>
              <c:y val="0.92259511250414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5835136"/>
        <c:crosses val="autoZero"/>
        <c:crossBetween val="midCat"/>
        <c:majorUnit val="1"/>
      </c:valAx>
      <c:valAx>
        <c:axId val="275835136"/>
        <c:scaling>
          <c:orientation val="minMax"/>
        </c:scaling>
        <c:delete val="0"/>
        <c:axPos val="l"/>
        <c:title>
          <c:tx>
            <c:strRef>
              <c:f>'Precision '!$O$58</c:f>
              <c:strCache>
                <c:ptCount val="1"/>
                <c:pt idx="0">
                  <c:v>Mean ± SEM</c:v>
                </c:pt>
              </c:strCache>
            </c:strRef>
          </c:tx>
          <c:layout>
            <c:manualLayout>
              <c:xMode val="edge"/>
              <c:yMode val="edge"/>
              <c:x val="3.5714341677439601E-2"/>
              <c:y val="0.44769930943098124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lang="en-US" sz="1200" b="1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5833216"/>
        <c:crosses val="autoZero"/>
        <c:crossBetween val="midCat"/>
      </c:valAx>
      <c:spPr>
        <a:gradFill rotWithShape="0">
          <a:gsLst>
            <a:gs pos="0">
              <a:srgbClr val="99CCFF"/>
            </a:gs>
            <a:gs pos="100000">
              <a:srgbClr val="FFFF99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3399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35" b="0" i="0" u="none" strike="noStrike" baseline="0">
                <a:solidFill>
                  <a:srgbClr val="3399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5"/>
        <c:delete val="1"/>
      </c:legendEntry>
      <c:legendEntry>
        <c:idx val="16"/>
        <c:delete val="1"/>
      </c:legendEntry>
      <c:layout>
        <c:manualLayout>
          <c:xMode val="edge"/>
          <c:yMode val="edge"/>
          <c:x val="0.79504106762774063"/>
          <c:y val="3.4137655123206684E-2"/>
          <c:w val="0.17585562998655002"/>
          <c:h val="0.14302596641439241"/>
        </c:manualLayout>
      </c:layout>
      <c:overlay val="0"/>
      <c:spPr>
        <a:solidFill>
          <a:schemeClr val="bg1"/>
        </a:solidFill>
        <a:ln>
          <a:solidFill>
            <a:srgbClr val="FF0000"/>
          </a:solidFill>
        </a:ln>
      </c:spPr>
      <c:txPr>
        <a:bodyPr/>
        <a:lstStyle/>
        <a:p>
          <a:pPr>
            <a:defRPr lang="sv-SE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" r="0.75000000000000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374650</xdr:colOff>
      <xdr:row>25</xdr:row>
      <xdr:rowOff>47625</xdr:rowOff>
    </xdr:from>
    <xdr:to>
      <xdr:col>23</xdr:col>
      <xdr:colOff>130323</xdr:colOff>
      <xdr:row>44</xdr:row>
      <xdr:rowOff>152400</xdr:rowOff>
    </xdr:to>
    <xdr:grpSp>
      <xdr:nvGrpSpPr>
        <xdr:cNvPr id="6" name="Group 5"/>
        <xdr:cNvGrpSpPr/>
      </xdr:nvGrpSpPr>
      <xdr:grpSpPr>
        <a:xfrm>
          <a:off x="878114" y="6130018"/>
          <a:ext cx="11893245" cy="4880882"/>
          <a:chOff x="717550" y="6029325"/>
          <a:chExt cx="11870850" cy="4994275"/>
        </a:xfrm>
      </xdr:grpSpPr>
      <xdr:grpSp>
        <xdr:nvGrpSpPr>
          <xdr:cNvPr id="4" name="Group 3"/>
          <xdr:cNvGrpSpPr/>
        </xdr:nvGrpSpPr>
        <xdr:grpSpPr>
          <a:xfrm>
            <a:off x="717550" y="6029325"/>
            <a:ext cx="5727700" cy="4994275"/>
            <a:chOff x="714375" y="5905500"/>
            <a:chExt cx="5695950" cy="4895850"/>
          </a:xfrm>
        </xdr:grpSpPr>
        <xdr:graphicFrame macro="">
          <xdr:nvGraphicFramePr>
            <xdr:cNvPr id="12450" name="Chart 3"/>
            <xdr:cNvGraphicFramePr>
              <a:graphicFrameLocks/>
            </xdr:cNvGraphicFramePr>
          </xdr:nvGraphicFramePr>
          <xdr:xfrm>
            <a:off x="714375" y="5905500"/>
            <a:ext cx="5695950" cy="48958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$J$47">
          <xdr:nvSpPr>
            <xdr:cNvPr id="2" name="TextBox 1"/>
            <xdr:cNvSpPr txBox="1"/>
          </xdr:nvSpPr>
          <xdr:spPr>
            <a:xfrm>
              <a:off x="4400550" y="9867900"/>
              <a:ext cx="1285875" cy="28575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fld id="{640AEE35-690C-4089-8E97-AEDE8913E1AD}" type="TxLink">
                <a:rPr lang="en-US">
                  <a:solidFill>
                    <a:srgbClr val="FF0000"/>
                  </a:solidFill>
                </a:rPr>
                <a:pPr algn="ctr"/>
                <a:t>Standard error</a:t>
              </a:fld>
              <a:endParaRPr lang="en-US">
                <a:solidFill>
                  <a:srgbClr val="FF0000"/>
                </a:solidFill>
              </a:endParaRPr>
            </a:p>
          </xdr:txBody>
        </xdr:sp>
      </xdr:grpSp>
      <xdr:grpSp>
        <xdr:nvGrpSpPr>
          <xdr:cNvPr id="5" name="Group 4"/>
          <xdr:cNvGrpSpPr/>
        </xdr:nvGrpSpPr>
        <xdr:grpSpPr>
          <a:xfrm>
            <a:off x="6813075" y="6035119"/>
            <a:ext cx="5775325" cy="4965700"/>
            <a:chOff x="6775222" y="5911741"/>
            <a:chExt cx="5743575" cy="4868024"/>
          </a:xfrm>
        </xdr:grpSpPr>
        <xdr:graphicFrame macro="">
          <xdr:nvGraphicFramePr>
            <xdr:cNvPr id="12451" name="Chart 6"/>
            <xdr:cNvGraphicFramePr>
              <a:graphicFrameLocks/>
            </xdr:cNvGraphicFramePr>
          </xdr:nvGraphicFramePr>
          <xdr:xfrm>
            <a:off x="6775222" y="5911741"/>
            <a:ext cx="5743575" cy="486802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$U$47">
          <xdr:nvSpPr>
            <xdr:cNvPr id="3" name="TextBox 2"/>
            <xdr:cNvSpPr txBox="1"/>
          </xdr:nvSpPr>
          <xdr:spPr>
            <a:xfrm>
              <a:off x="10455346" y="9868649"/>
              <a:ext cx="1343024" cy="2667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fld id="{9E4995E2-4B99-46DF-98D3-31C316FCC0B3}" type="TxLink">
                <a:rPr lang="sv-SE" sz="1100">
                  <a:solidFill>
                    <a:srgbClr val="FF0000"/>
                  </a:solidFill>
                </a:rPr>
                <a:pPr algn="ctr"/>
                <a:t>Standard error</a:t>
              </a:fld>
              <a:endParaRPr lang="sv-SE" sz="1100">
                <a:solidFill>
                  <a:srgbClr val="FF0000"/>
                </a:solidFill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111"/>
  <sheetViews>
    <sheetView tabSelected="1" zoomScale="70" zoomScaleNormal="70" workbookViewId="0">
      <selection activeCell="E2" sqref="E2:G2"/>
    </sheetView>
  </sheetViews>
  <sheetFormatPr defaultRowHeight="12.75" x14ac:dyDescent="0.2"/>
  <cols>
    <col min="1" max="1" width="2.140625" style="108" customWidth="1"/>
    <col min="2" max="2" width="5.28515625" style="8" customWidth="1"/>
    <col min="3" max="3" width="6.42578125" style="8" customWidth="1"/>
    <col min="4" max="23" width="8.7109375" style="8" customWidth="1"/>
    <col min="24" max="24" width="6" style="8" customWidth="1"/>
    <col min="25" max="25" width="38.85546875" style="8" customWidth="1"/>
    <col min="26" max="27" width="11.140625" style="8" customWidth="1"/>
    <col min="28" max="28" width="8.85546875" style="8" customWidth="1"/>
    <col min="29" max="29" width="15.140625" style="8" customWidth="1"/>
    <col min="30" max="31" width="11.140625" style="8" customWidth="1"/>
    <col min="32" max="35" width="8.7109375" style="8" customWidth="1"/>
    <col min="36" max="36" width="11" style="8" customWidth="1"/>
    <col min="37" max="37" width="9" style="8" customWidth="1"/>
    <col min="38" max="38" width="9.28515625" style="8" customWidth="1"/>
    <col min="39" max="39" width="10.5703125" style="8" bestFit="1" customWidth="1"/>
    <col min="40" max="40" width="9" style="8" customWidth="1"/>
    <col min="41" max="41" width="8.5703125" style="8" customWidth="1"/>
    <col min="42" max="42" width="7.7109375" style="8" customWidth="1"/>
    <col min="43" max="43" width="10.5703125" style="8" bestFit="1" customWidth="1"/>
    <col min="44" max="16384" width="9.140625" style="8"/>
  </cols>
  <sheetData>
    <row r="1" spans="2:53" s="108" customFormat="1" ht="24.75" customHeight="1" x14ac:dyDescent="0.2">
      <c r="E1" s="124" t="s">
        <v>132</v>
      </c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</row>
    <row r="2" spans="2:53" ht="15.75" x14ac:dyDescent="0.25">
      <c r="B2" s="114"/>
      <c r="C2" s="118"/>
      <c r="D2" s="119" t="s">
        <v>111</v>
      </c>
      <c r="E2" s="349"/>
      <c r="F2" s="349"/>
      <c r="G2" s="349"/>
      <c r="H2" s="170"/>
      <c r="I2" s="119" t="s">
        <v>115</v>
      </c>
      <c r="J2" s="349"/>
      <c r="K2" s="349"/>
      <c r="L2" s="349"/>
      <c r="M2" s="351"/>
      <c r="N2" s="120"/>
      <c r="O2" s="119" t="s">
        <v>111</v>
      </c>
      <c r="P2" s="349"/>
      <c r="Q2" s="349"/>
      <c r="R2" s="170"/>
      <c r="S2" s="119" t="s">
        <v>115</v>
      </c>
      <c r="T2" s="349"/>
      <c r="U2" s="349"/>
      <c r="V2" s="349"/>
      <c r="W2" s="364"/>
      <c r="X2" s="125" t="s">
        <v>152</v>
      </c>
      <c r="Y2" s="9"/>
      <c r="Z2" s="11"/>
      <c r="AA2" s="11"/>
      <c r="AB2" s="11"/>
      <c r="AC2" s="104" t="s">
        <v>19</v>
      </c>
      <c r="AD2" s="104" t="s">
        <v>20</v>
      </c>
      <c r="AE2" s="104" t="s">
        <v>21</v>
      </c>
      <c r="AF2" s="104" t="s">
        <v>18</v>
      </c>
      <c r="AG2" s="104" t="s">
        <v>19</v>
      </c>
      <c r="AH2" s="104" t="s">
        <v>20</v>
      </c>
      <c r="AI2" s="104" t="s">
        <v>21</v>
      </c>
      <c r="AJ2" s="106"/>
      <c r="AK2" s="6"/>
      <c r="AL2" s="6"/>
      <c r="AM2" s="6"/>
      <c r="AN2" s="6"/>
      <c r="AO2" s="6"/>
      <c r="AP2" s="6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2:53" ht="15" x14ac:dyDescent="0.2">
      <c r="B3" s="114"/>
      <c r="C3" s="121"/>
      <c r="D3" s="110" t="s">
        <v>114</v>
      </c>
      <c r="E3" s="350"/>
      <c r="F3" s="350"/>
      <c r="G3" s="350"/>
      <c r="H3" s="171"/>
      <c r="I3" s="111" t="s">
        <v>116</v>
      </c>
      <c r="J3" s="356"/>
      <c r="K3" s="356"/>
      <c r="L3" s="356"/>
      <c r="M3" s="357"/>
      <c r="N3" s="112"/>
      <c r="O3" s="110" t="s">
        <v>114</v>
      </c>
      <c r="P3" s="350"/>
      <c r="Q3" s="350"/>
      <c r="R3" s="171"/>
      <c r="S3" s="111" t="s">
        <v>116</v>
      </c>
      <c r="T3" s="360"/>
      <c r="U3" s="360"/>
      <c r="V3" s="360"/>
      <c r="W3" s="361"/>
      <c r="X3" s="11"/>
      <c r="Y3" s="9"/>
      <c r="Z3" s="10">
        <f>COUNT(D10:D19)+COUNT(E10:E19)</f>
        <v>0</v>
      </c>
      <c r="AA3" s="10">
        <f>COUNT(N10:N19)+COUNT(O10:O19)</f>
        <v>0</v>
      </c>
      <c r="AB3" s="5"/>
      <c r="AC3" s="103" t="str">
        <f>IF(OR(ISBLANK(D7),Z3&lt;4),"",AB8/AB9)</f>
        <v/>
      </c>
      <c r="AD3" s="104" t="str">
        <f>IF(OR(ISBLANK(D7),Z3&lt;4),"",'P Calc'!AA9)</f>
        <v/>
      </c>
      <c r="AE3" s="105" t="str">
        <f>IF(OR(ISBLANK(D7),Z3&lt;4),"",FINV(0.05,'P Calc'!AA6,Z9-'P Calc'!AA6-1))</f>
        <v/>
      </c>
      <c r="AF3" s="102" t="str">
        <f>IF(OR(ISBLANK(AA5),AA3&lt;4),"",'P Calc'!AH4)</f>
        <v/>
      </c>
      <c r="AG3" s="103" t="str">
        <f>IF(OR(ISBLANK(AA5),AA3&lt;4),"",AF3/AF4)</f>
        <v/>
      </c>
      <c r="AH3" s="104" t="str">
        <f>IF(OR(ISBLANK(AA5),AA3&lt;4),"",'P Calc'!AB9)</f>
        <v/>
      </c>
      <c r="AI3" s="105" t="str">
        <f>IF(OR(ISBLANK(AA5),AA3&lt;4),"",FINV(0.05,'P Calc'!AB6,AA9-'P Calc'!AB6-1))</f>
        <v/>
      </c>
      <c r="AJ3" s="132"/>
      <c r="AK3" s="6"/>
      <c r="AL3" s="6"/>
      <c r="AM3" s="6"/>
      <c r="AN3" s="6"/>
      <c r="AO3" s="6"/>
      <c r="AP3" s="6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</row>
    <row r="4" spans="2:53" ht="15.75" thickBot="1" x14ac:dyDescent="0.25">
      <c r="B4" s="114"/>
      <c r="C4" s="121"/>
      <c r="D4" s="111" t="s">
        <v>112</v>
      </c>
      <c r="E4" s="350"/>
      <c r="F4" s="350"/>
      <c r="G4" s="350"/>
      <c r="H4" s="350"/>
      <c r="I4" s="350"/>
      <c r="J4" s="356"/>
      <c r="K4" s="356"/>
      <c r="L4" s="356"/>
      <c r="M4" s="357"/>
      <c r="N4" s="112"/>
      <c r="O4" s="111" t="s">
        <v>112</v>
      </c>
      <c r="P4" s="350"/>
      <c r="Q4" s="350"/>
      <c r="R4" s="350"/>
      <c r="S4" s="350"/>
      <c r="T4" s="360"/>
      <c r="U4" s="360"/>
      <c r="V4" s="360"/>
      <c r="W4" s="361"/>
      <c r="X4" s="11"/>
      <c r="Y4" s="9"/>
      <c r="Z4" s="10"/>
      <c r="AA4" s="10"/>
      <c r="AB4" s="5"/>
      <c r="AC4" s="106"/>
      <c r="AD4" s="106"/>
      <c r="AE4" s="106"/>
      <c r="AF4" s="102" t="str">
        <f>IF(OR(ISBLANK(AA5),AA3&lt;4),"",'P Calc'!AH5)</f>
        <v/>
      </c>
      <c r="AG4" s="103"/>
      <c r="AH4" s="104"/>
      <c r="AI4" s="105"/>
      <c r="AJ4" s="132"/>
      <c r="AK4" s="6"/>
      <c r="AL4" s="6"/>
      <c r="AM4" s="6"/>
      <c r="AN4" s="6"/>
      <c r="AO4" s="6"/>
      <c r="AP4" s="6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</row>
    <row r="5" spans="2:53" ht="15.75" customHeight="1" thickTop="1" x14ac:dyDescent="0.2">
      <c r="B5" s="115"/>
      <c r="C5" s="122"/>
      <c r="D5" s="123" t="s">
        <v>113</v>
      </c>
      <c r="E5" s="348"/>
      <c r="F5" s="348"/>
      <c r="G5" s="348"/>
      <c r="H5" s="348"/>
      <c r="I5" s="348"/>
      <c r="J5" s="358"/>
      <c r="K5" s="358"/>
      <c r="L5" s="358"/>
      <c r="M5" s="359"/>
      <c r="N5" s="113"/>
      <c r="O5" s="123" t="s">
        <v>113</v>
      </c>
      <c r="P5" s="348"/>
      <c r="Q5" s="348"/>
      <c r="R5" s="348"/>
      <c r="S5" s="348"/>
      <c r="T5" s="362"/>
      <c r="U5" s="362"/>
      <c r="V5" s="362"/>
      <c r="W5" s="363"/>
      <c r="X5" s="15"/>
      <c r="Y5" s="181"/>
      <c r="Z5" s="368" t="str">
        <f>IF(ISBLANK(D7),"",D7)</f>
        <v/>
      </c>
      <c r="AA5" s="370" t="str">
        <f>IF(ISBLANK(N7),"",N7)</f>
        <v/>
      </c>
      <c r="AB5" s="167"/>
      <c r="AC5" s="168"/>
      <c r="AD5" s="352" t="str">
        <f>Z5</f>
        <v/>
      </c>
      <c r="AE5" s="354" t="str">
        <f>AA5</f>
        <v/>
      </c>
      <c r="AF5" s="166"/>
      <c r="AG5" s="167"/>
      <c r="AH5" s="100" t="e">
        <f>D21-$AD$7</f>
        <v>#VALUE!</v>
      </c>
      <c r="AI5" s="100" t="e">
        <f>E21-$AD$7</f>
        <v>#VALUE!</v>
      </c>
      <c r="AJ5" s="100" t="e">
        <f>F21-$AD$7</f>
        <v>#VALUE!</v>
      </c>
      <c r="AK5" s="100" t="e">
        <f>G21-$AD$7</f>
        <v>#VALUE!</v>
      </c>
      <c r="AL5" s="100" t="e">
        <f>H21-$AD$7</f>
        <v>#VALUE!</v>
      </c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</row>
    <row r="6" spans="2:53" ht="20.100000000000001" customHeight="1" thickBot="1" x14ac:dyDescent="0.3">
      <c r="B6" s="2"/>
      <c r="C6" s="1"/>
      <c r="D6" s="365" t="s">
        <v>129</v>
      </c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7"/>
      <c r="X6" s="16"/>
      <c r="Y6" s="182"/>
      <c r="Z6" s="369"/>
      <c r="AA6" s="371"/>
      <c r="AB6" s="5"/>
      <c r="AC6" s="169"/>
      <c r="AD6" s="353"/>
      <c r="AE6" s="355"/>
      <c r="AF6" s="5"/>
      <c r="AG6" s="5"/>
      <c r="AH6" s="101" t="e">
        <f>SQRT(SUMSQ(AH5:AL5)/5)</f>
        <v>#VALUE!</v>
      </c>
      <c r="AI6" s="101"/>
      <c r="AJ6" s="101"/>
      <c r="AK6" s="101"/>
      <c r="AL6" s="101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2:53" ht="20.100000000000001" customHeight="1" x14ac:dyDescent="0.25">
      <c r="B7" s="2"/>
      <c r="C7" s="3"/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345"/>
      <c r="O7" s="346"/>
      <c r="P7" s="346"/>
      <c r="Q7" s="346"/>
      <c r="R7" s="346"/>
      <c r="S7" s="346"/>
      <c r="T7" s="346"/>
      <c r="U7" s="346"/>
      <c r="V7" s="346"/>
      <c r="W7" s="347"/>
      <c r="X7" s="16"/>
      <c r="Y7" s="312" t="s">
        <v>77</v>
      </c>
      <c r="Z7" s="215" t="str">
        <f>IF(OR(ISBLANK(D7),Z3&lt;4),"",'P Calc'!AA6)</f>
        <v/>
      </c>
      <c r="AA7" s="216" t="str">
        <f>IF(OR(ISBLANK(N7),AA3&lt;4),"",'P Calc'!AB6)</f>
        <v/>
      </c>
      <c r="AB7" s="160" t="s">
        <v>18</v>
      </c>
      <c r="AC7" s="319" t="s">
        <v>144</v>
      </c>
      <c r="AD7" s="228"/>
      <c r="AE7" s="230"/>
      <c r="AF7" s="108"/>
      <c r="AG7" s="108"/>
      <c r="AH7" s="101" t="e">
        <f>AD11*SQRT(5)/STDEV(D21:H21)</f>
        <v>#VALUE!</v>
      </c>
      <c r="AI7" s="101"/>
      <c r="AJ7" s="101"/>
      <c r="AK7" s="101"/>
      <c r="AL7" s="101"/>
      <c r="AM7" s="131"/>
      <c r="AN7" s="131"/>
      <c r="AO7" s="131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</row>
    <row r="8" spans="2:53" ht="20.100000000000001" customHeight="1" thickBot="1" x14ac:dyDescent="0.3">
      <c r="B8" s="2"/>
      <c r="C8" s="126" t="s">
        <v>119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5"/>
      <c r="O8" s="133"/>
      <c r="P8" s="133"/>
      <c r="Q8" s="133"/>
      <c r="R8" s="133"/>
      <c r="S8" s="133"/>
      <c r="T8" s="133"/>
      <c r="U8" s="133"/>
      <c r="V8" s="133"/>
      <c r="W8" s="134"/>
      <c r="X8" s="16"/>
      <c r="Y8" s="313" t="s">
        <v>78</v>
      </c>
      <c r="Z8" s="217" t="str">
        <f>IF(OR(ISBLANK(D7),Z3&lt;4),"",'P Calc'!AA7)</f>
        <v/>
      </c>
      <c r="AA8" s="218" t="str">
        <f>IF(OR(ISBLANK(N7),AA3&lt;4),"",'P Calc'!AB7)</f>
        <v/>
      </c>
      <c r="AB8" s="102" t="str">
        <f>IF(ISBLANK(D7),"",'P Calc'!AG4)</f>
        <v/>
      </c>
      <c r="AC8" s="320" t="s">
        <v>163</v>
      </c>
      <c r="AD8" s="229"/>
      <c r="AE8" s="230"/>
      <c r="AF8" s="108"/>
      <c r="AG8" s="108"/>
      <c r="AH8" s="108"/>
      <c r="AI8" s="108"/>
      <c r="AJ8" s="163"/>
      <c r="AK8" s="163"/>
      <c r="AL8" s="131"/>
      <c r="AM8" s="131"/>
      <c r="AN8" s="131"/>
      <c r="AO8" s="131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</row>
    <row r="9" spans="2:53" ht="20.100000000000001" customHeight="1" thickTop="1" x14ac:dyDescent="0.25">
      <c r="B9" s="311"/>
      <c r="C9" s="12"/>
      <c r="D9" s="116" t="s">
        <v>3</v>
      </c>
      <c r="E9" s="116" t="s">
        <v>4</v>
      </c>
      <c r="F9" s="13" t="s">
        <v>5</v>
      </c>
      <c r="G9" s="13" t="s">
        <v>6</v>
      </c>
      <c r="H9" s="13" t="s">
        <v>7</v>
      </c>
      <c r="I9" s="13" t="s">
        <v>8</v>
      </c>
      <c r="J9" s="13" t="s">
        <v>9</v>
      </c>
      <c r="K9" s="13" t="s">
        <v>95</v>
      </c>
      <c r="L9" s="13" t="s">
        <v>96</v>
      </c>
      <c r="M9" s="14" t="s">
        <v>97</v>
      </c>
      <c r="N9" s="117" t="s">
        <v>10</v>
      </c>
      <c r="O9" s="116" t="s">
        <v>11</v>
      </c>
      <c r="P9" s="13" t="s">
        <v>12</v>
      </c>
      <c r="Q9" s="13" t="s">
        <v>13</v>
      </c>
      <c r="R9" s="13" t="s">
        <v>14</v>
      </c>
      <c r="S9" s="13" t="s">
        <v>15</v>
      </c>
      <c r="T9" s="13" t="s">
        <v>16</v>
      </c>
      <c r="U9" s="13" t="s">
        <v>98</v>
      </c>
      <c r="V9" s="13" t="s">
        <v>99</v>
      </c>
      <c r="W9" s="77" t="s">
        <v>100</v>
      </c>
      <c r="X9" s="16"/>
      <c r="Y9" s="312" t="s">
        <v>22</v>
      </c>
      <c r="Z9" s="219" t="str">
        <f>IF(OR(ISBLANK(D7),Z3&lt;4),"",COUNT(D10:M19))</f>
        <v/>
      </c>
      <c r="AA9" s="381" t="str">
        <f>IF(OR(ISBLANK(N7),AA3&lt;4),"",COUNT(N10:W19))</f>
        <v/>
      </c>
      <c r="AB9" s="378" t="str">
        <f>IF(OR(ISBLANK(D7),Z3&lt;4),"",'P Calc'!AG5)</f>
        <v/>
      </c>
      <c r="AC9" s="321" t="str">
        <f>IF(OR(ISNUMBER($AD$10),ISNUMBER(AE10)),"Calc SEM:","")</f>
        <v/>
      </c>
      <c r="AD9" s="231" t="str">
        <f>IF(ISNUMBER($AD$10),AD10*AD7/100,"")</f>
        <v/>
      </c>
      <c r="AE9" s="232" t="str">
        <f>IF(ISNUMBER($AE$10),AE10*AE7/100,"")</f>
        <v/>
      </c>
      <c r="AF9" s="108"/>
      <c r="AG9" s="108"/>
      <c r="AH9" s="108"/>
      <c r="AI9" s="108"/>
      <c r="AJ9" s="163"/>
      <c r="AK9" s="163"/>
      <c r="AL9" s="101"/>
      <c r="AM9" s="101"/>
      <c r="AN9" s="131"/>
      <c r="AO9" s="131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</row>
    <row r="10" spans="2:53" ht="20.100000000000001" customHeight="1" x14ac:dyDescent="0.2">
      <c r="B10" s="341" t="s">
        <v>17</v>
      </c>
      <c r="C10" s="329" t="s">
        <v>83</v>
      </c>
      <c r="D10" s="282"/>
      <c r="E10" s="283"/>
      <c r="F10" s="284"/>
      <c r="G10" s="284"/>
      <c r="H10" s="284"/>
      <c r="I10" s="284"/>
      <c r="J10" s="284"/>
      <c r="K10" s="284"/>
      <c r="L10" s="284"/>
      <c r="M10" s="285"/>
      <c r="N10" s="286"/>
      <c r="O10" s="283"/>
      <c r="P10" s="284"/>
      <c r="Q10" s="284"/>
      <c r="R10" s="284"/>
      <c r="S10" s="284"/>
      <c r="T10" s="284"/>
      <c r="U10" s="283"/>
      <c r="V10" s="284"/>
      <c r="W10" s="332"/>
      <c r="X10" s="16"/>
      <c r="Y10" s="312" t="s">
        <v>1</v>
      </c>
      <c r="Z10" s="220" t="str">
        <f>IF(OR(ISBLANK(D7),Z3&lt;4),"",'P Calc'!AA1)</f>
        <v/>
      </c>
      <c r="AA10" s="382" t="str">
        <f>IF(OR(ISBLANK(N7),AA3&lt;4),"",'P Calc'!AB1)</f>
        <v/>
      </c>
      <c r="AB10" s="379"/>
      <c r="AC10" s="322" t="s">
        <v>164</v>
      </c>
      <c r="AD10" s="233"/>
      <c r="AE10" s="377"/>
      <c r="AF10" s="164"/>
      <c r="AG10" s="164"/>
      <c r="AH10" s="163"/>
      <c r="AI10" s="163"/>
      <c r="AJ10" s="163"/>
      <c r="AK10" s="163"/>
      <c r="AL10" s="101"/>
      <c r="AM10" s="101"/>
      <c r="AN10" s="131"/>
      <c r="AO10" s="131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spans="2:53" ht="20.100000000000001" customHeight="1" x14ac:dyDescent="0.2">
      <c r="B11" s="342"/>
      <c r="C11" s="330" t="s">
        <v>84</v>
      </c>
      <c r="D11" s="287"/>
      <c r="E11" s="288"/>
      <c r="F11" s="288"/>
      <c r="G11" s="288"/>
      <c r="H11" s="288"/>
      <c r="I11" s="288"/>
      <c r="J11" s="288"/>
      <c r="K11" s="288"/>
      <c r="L11" s="288"/>
      <c r="M11" s="289"/>
      <c r="N11" s="290"/>
      <c r="O11" s="288"/>
      <c r="P11" s="288"/>
      <c r="Q11" s="288"/>
      <c r="R11" s="288"/>
      <c r="S11" s="288"/>
      <c r="T11" s="288"/>
      <c r="U11" s="288"/>
      <c r="V11" s="288"/>
      <c r="W11" s="333"/>
      <c r="X11" s="16"/>
      <c r="Y11" s="312" t="s">
        <v>23</v>
      </c>
      <c r="Z11" s="221" t="str">
        <f>IF(OR(ISBLANK(D7),Z3&lt;4),"",'P Calc'!AA2/SQRT(Z9))</f>
        <v/>
      </c>
      <c r="AA11" s="383" t="str">
        <f>IF(OR(ISBLANK(N7),AA3&lt;4),"",'P Calc'!AB2/SQRT(AA9))</f>
        <v/>
      </c>
      <c r="AB11" s="156"/>
      <c r="AC11" s="323" t="s">
        <v>24</v>
      </c>
      <c r="AD11" s="234" t="str">
        <f>IF(OR(ISBLANK(D7),ISBLANK(AD7),AND(ISBLANK(AD8),ISBLANK(AD10))),"",Z10-AD7)</f>
        <v/>
      </c>
      <c r="AE11" s="235" t="str">
        <f>IF(OR(ISBLANK(AA5),ISBLANK(AE7),AND(ISBLANK(AE8),ISBLANK(AE10))),"",AA10-AE7)</f>
        <v/>
      </c>
      <c r="AF11" s="164"/>
      <c r="AG11" s="164"/>
      <c r="AH11" s="163"/>
      <c r="AI11" s="163"/>
      <c r="AJ11" s="163"/>
      <c r="AK11" s="163"/>
      <c r="AL11" s="101"/>
      <c r="AM11" s="101"/>
      <c r="AN11" s="131"/>
      <c r="AO11" s="131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2:53" ht="20.100000000000001" customHeight="1" x14ac:dyDescent="0.2">
      <c r="B12" s="342"/>
      <c r="C12" s="330" t="s">
        <v>85</v>
      </c>
      <c r="D12" s="287"/>
      <c r="E12" s="288"/>
      <c r="F12" s="288"/>
      <c r="G12" s="288"/>
      <c r="H12" s="288"/>
      <c r="I12" s="288"/>
      <c r="J12" s="288"/>
      <c r="K12" s="288"/>
      <c r="L12" s="288"/>
      <c r="M12" s="289"/>
      <c r="N12" s="290"/>
      <c r="O12" s="288"/>
      <c r="P12" s="288"/>
      <c r="Q12" s="288"/>
      <c r="R12" s="288"/>
      <c r="S12" s="288"/>
      <c r="T12" s="288"/>
      <c r="U12" s="288"/>
      <c r="V12" s="288"/>
      <c r="W12" s="333"/>
      <c r="X12" s="16"/>
      <c r="Y12" s="314" t="s">
        <v>148</v>
      </c>
      <c r="Z12" s="222" t="str">
        <f>IF(ISBLANK(D7),"",AVERAGE(D21:M21))</f>
        <v/>
      </c>
      <c r="AA12" s="384" t="str">
        <f>IF(ISBLANK(N7),"",AVERAGE(N21:W21))</f>
        <v/>
      </c>
      <c r="AB12" s="156"/>
      <c r="AC12" s="324" t="s">
        <v>165</v>
      </c>
      <c r="AD12" s="340" t="str">
        <f>IF(OR(ISBLANK(D7),ISBLANK(AD7),AND(ISBLANK(AD8),ISBLANK(AD10))),"",'P Calc'!AF7)</f>
        <v/>
      </c>
      <c r="AE12" s="236" t="str">
        <f>IF(OR(ISBLANK(AA5),ISBLANK(AE7),AND(ISBLANK(AE8),ISBLANK(AE10))),"",'P Calc'!AG7)</f>
        <v/>
      </c>
      <c r="AF12" s="164"/>
      <c r="AG12" s="164"/>
      <c r="AH12" s="163"/>
      <c r="AI12" s="163"/>
      <c r="AJ12" s="163"/>
      <c r="AK12" s="163"/>
      <c r="AL12" s="101"/>
      <c r="AM12" s="101"/>
      <c r="AN12" s="131"/>
      <c r="AO12" s="131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2:53" ht="20.100000000000001" customHeight="1" thickBot="1" x14ac:dyDescent="0.25">
      <c r="B13" s="342"/>
      <c r="C13" s="330" t="s">
        <v>86</v>
      </c>
      <c r="D13" s="287"/>
      <c r="E13" s="288"/>
      <c r="F13" s="288"/>
      <c r="G13" s="288"/>
      <c r="H13" s="288"/>
      <c r="I13" s="288"/>
      <c r="J13" s="288"/>
      <c r="K13" s="288"/>
      <c r="L13" s="288"/>
      <c r="M13" s="289"/>
      <c r="N13" s="290"/>
      <c r="O13" s="288"/>
      <c r="P13" s="288"/>
      <c r="Q13" s="288"/>
      <c r="R13" s="288"/>
      <c r="S13" s="288"/>
      <c r="T13" s="288"/>
      <c r="U13" s="288"/>
      <c r="V13" s="288"/>
      <c r="W13" s="333"/>
      <c r="X13" s="16"/>
      <c r="Y13" s="315" t="s">
        <v>149</v>
      </c>
      <c r="Z13" s="223" t="str">
        <f>IF(ISBLANK(D7),"",SQRT(AVERAGE(D20:M20)))</f>
        <v/>
      </c>
      <c r="AA13" s="385" t="str">
        <f>IF(ISBLANK(N7),"",SQRT(AVERAGE(N20:W20)))</f>
        <v/>
      </c>
      <c r="AB13" s="156"/>
      <c r="AC13" s="325" t="s">
        <v>26</v>
      </c>
      <c r="AD13" s="237" t="str">
        <f>IF(OR(ISBLANK(D7),ISBLANK(AD7),AND(ISBLANK(AD8),ISBLANK(AD10))),"",(Z10-AD7)/(IF(ISNUMBER(AD8),AD8,IF(ISNUMBER(AD10),AD10*AD7,""))))</f>
        <v/>
      </c>
      <c r="AE13" s="238" t="str">
        <f>IF(OR(ISBLANK(AA5),ISBLANK(AE7),AND(ISBLANK(AE8),ISBLANK(AE10))),"",(AA10-AE7)/(IF(ISNUMBER(AE8),AE8,IF(ISNUMBER(AE10),AE10*AE7,""))))</f>
        <v/>
      </c>
      <c r="AF13" s="164"/>
      <c r="AG13" s="164"/>
      <c r="AH13" s="108"/>
      <c r="AI13" s="108"/>
      <c r="AJ13" s="108"/>
      <c r="AK13" s="108"/>
      <c r="AL13" s="108"/>
      <c r="AM13" s="101"/>
      <c r="AN13" s="131"/>
      <c r="AO13" s="131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2:53" ht="20.100000000000001" customHeight="1" thickTop="1" x14ac:dyDescent="0.2">
      <c r="B14" s="342"/>
      <c r="C14" s="330" t="s">
        <v>87</v>
      </c>
      <c r="D14" s="287"/>
      <c r="E14" s="288"/>
      <c r="F14" s="288"/>
      <c r="G14" s="288"/>
      <c r="H14" s="288"/>
      <c r="I14" s="288"/>
      <c r="J14" s="288"/>
      <c r="K14" s="288"/>
      <c r="L14" s="288"/>
      <c r="M14" s="289"/>
      <c r="N14" s="290"/>
      <c r="O14" s="288"/>
      <c r="P14" s="288"/>
      <c r="Q14" s="288"/>
      <c r="R14" s="288"/>
      <c r="S14" s="288"/>
      <c r="T14" s="288"/>
      <c r="U14" s="288"/>
      <c r="V14" s="288"/>
      <c r="W14" s="333"/>
      <c r="X14" s="16"/>
      <c r="Y14" s="316" t="s">
        <v>154</v>
      </c>
      <c r="Z14" s="335" t="str">
        <f>IF(OR(ISBLANK(D7),Z3&lt;4),"",'P Calc'!AG5)</f>
        <v/>
      </c>
      <c r="AA14" s="386" t="str">
        <f>IF(OR(ISBLANK(N7),AA3&lt;4),"",'P Calc'!AH5)</f>
        <v/>
      </c>
      <c r="AB14" s="156"/>
      <c r="AC14" s="326" t="s">
        <v>166</v>
      </c>
      <c r="AD14" s="239">
        <v>5</v>
      </c>
      <c r="AE14" s="240">
        <v>5</v>
      </c>
      <c r="AF14" s="164"/>
      <c r="AG14" s="164"/>
      <c r="AH14" s="108"/>
      <c r="AI14" s="108"/>
      <c r="AJ14" s="108"/>
      <c r="AK14" s="108"/>
      <c r="AL14" s="108"/>
      <c r="AM14" s="101"/>
      <c r="AN14" s="131"/>
      <c r="AO14" s="131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2:53" ht="20.100000000000001" customHeight="1" x14ac:dyDescent="0.2">
      <c r="B15" s="342"/>
      <c r="C15" s="330" t="s">
        <v>88</v>
      </c>
      <c r="D15" s="287"/>
      <c r="E15" s="288"/>
      <c r="F15" s="288"/>
      <c r="G15" s="288"/>
      <c r="H15" s="288"/>
      <c r="I15" s="288"/>
      <c r="J15" s="288"/>
      <c r="K15" s="288"/>
      <c r="L15" s="288"/>
      <c r="M15" s="289"/>
      <c r="N15" s="291"/>
      <c r="O15" s="292"/>
      <c r="P15" s="292"/>
      <c r="Q15" s="292"/>
      <c r="R15" s="292"/>
      <c r="S15" s="288"/>
      <c r="T15" s="292"/>
      <c r="U15" s="292"/>
      <c r="V15" s="292"/>
      <c r="W15" s="334"/>
      <c r="X15" s="16"/>
      <c r="Y15" s="316" t="s">
        <v>153</v>
      </c>
      <c r="Z15" s="336" t="str">
        <f>IF(OR(ISBLANK(D7),Z3&lt;4),"",IF('P Calc'!AG5&gt;'P Calc'!AG4,"("&amp;'P Calc'!AD12&amp;")",('P Calc'!AG4-'P Calc'!AG5)/'P Calc'!AA5))</f>
        <v/>
      </c>
      <c r="AA15" s="387" t="str">
        <f>IF(OR(ISBLANK(N7),AA3&lt;4),"",IF('P Calc'!AH5&gt;'P Calc'!AH4,"("&amp;'P Calc'!AE12&amp;")",('P Calc'!AH4-'P Calc'!AH5)/'P Calc'!AB5))</f>
        <v/>
      </c>
      <c r="AB15" s="156"/>
      <c r="AC15" s="212" t="s">
        <v>143</v>
      </c>
      <c r="AD15" s="241" t="str">
        <f>IF(OR(ISBLANK(D7),ISBLANK(AD7)),"",TINV(AD14/100,Z9-1))</f>
        <v/>
      </c>
      <c r="AE15" s="242" t="str">
        <f>IF(OR(ISBLANK(AA5),ISBLANK(AE7)),"",TINV(AE14/100,AA9-1))</f>
        <v/>
      </c>
      <c r="AF15" s="164"/>
      <c r="AG15" s="164"/>
      <c r="AH15" s="108"/>
      <c r="AI15" s="108"/>
      <c r="AJ15" s="108"/>
      <c r="AK15" s="108"/>
      <c r="AL15" s="108"/>
      <c r="AM15" s="101"/>
      <c r="AN15" s="131"/>
      <c r="AO15" s="131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2:53" ht="20.100000000000001" customHeight="1" thickBot="1" x14ac:dyDescent="0.25">
      <c r="B16" s="342"/>
      <c r="C16" s="330" t="s">
        <v>89</v>
      </c>
      <c r="D16" s="287"/>
      <c r="E16" s="288"/>
      <c r="F16" s="288"/>
      <c r="G16" s="288"/>
      <c r="H16" s="288"/>
      <c r="I16" s="288"/>
      <c r="J16" s="288"/>
      <c r="K16" s="288"/>
      <c r="L16" s="288"/>
      <c r="M16" s="289"/>
      <c r="N16" s="291"/>
      <c r="O16" s="292"/>
      <c r="P16" s="292"/>
      <c r="Q16" s="292"/>
      <c r="R16" s="292"/>
      <c r="S16" s="288"/>
      <c r="T16" s="292"/>
      <c r="U16" s="292"/>
      <c r="V16" s="292"/>
      <c r="W16" s="293"/>
      <c r="X16" s="17"/>
      <c r="Y16" s="316" t="s">
        <v>93</v>
      </c>
      <c r="Z16" s="337" t="str">
        <f>IF(OR(ISBLANK(D7),Z3&lt;4),"",'P Calc'!AG9)</f>
        <v/>
      </c>
      <c r="AA16" s="388" t="str">
        <f>IF(OR(ISBLANK(N7),AA3&lt;4),"",'P Calc'!AH9)</f>
        <v/>
      </c>
      <c r="AB16" s="156"/>
      <c r="AC16" s="327" t="s">
        <v>28</v>
      </c>
      <c r="AD16" s="243" t="str">
        <f>IF(OR(ISBLANK(D7),ISBLANK(AD7),AND(ISBLANK(AD8),ISBLANK(AD10))),"",IF(ISNUMBER(AD8),AD7+AD15*SQRT((Z11^2+AD8^2)),AD7+AD15*SQRT((Z11^2+AD9^2))))</f>
        <v/>
      </c>
      <c r="AE16" s="244" t="str">
        <f>IF(OR(ISBLANK(AA5),ISBLANK(AE7),AND(ISBLANK(AE8),ISBLANK(AE10))),"",IF(ISNUMBER(AE8),AE7+AE15*SQRT((AA11^2+AE8^2)),AE7+AE15*SQRT((AA11^2+AE9^2))))</f>
        <v/>
      </c>
      <c r="AF16" s="164"/>
      <c r="AG16" s="164"/>
      <c r="AH16" s="163"/>
      <c r="AI16" s="163"/>
      <c r="AJ16" s="163"/>
      <c r="AK16" s="163"/>
      <c r="AL16" s="101"/>
      <c r="AM16" s="101"/>
      <c r="AN16" s="131"/>
      <c r="AO16" s="131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</row>
    <row r="17" spans="2:53" ht="20.100000000000001" customHeight="1" x14ac:dyDescent="0.2">
      <c r="B17" s="342"/>
      <c r="C17" s="330" t="s">
        <v>90</v>
      </c>
      <c r="D17" s="287"/>
      <c r="E17" s="288"/>
      <c r="F17" s="288"/>
      <c r="G17" s="288"/>
      <c r="H17" s="288"/>
      <c r="I17" s="288"/>
      <c r="J17" s="288"/>
      <c r="K17" s="288"/>
      <c r="L17" s="288"/>
      <c r="M17" s="289"/>
      <c r="N17" s="291"/>
      <c r="O17" s="292"/>
      <c r="P17" s="292"/>
      <c r="Q17" s="292"/>
      <c r="R17" s="292"/>
      <c r="S17" s="288"/>
      <c r="T17" s="292"/>
      <c r="U17" s="292"/>
      <c r="V17" s="292"/>
      <c r="W17" s="293"/>
      <c r="X17" s="17"/>
      <c r="Y17" s="317" t="s">
        <v>156</v>
      </c>
      <c r="Z17" s="338" t="str">
        <f>IF(OR(ISBLANK(D7),Z3&lt;4),"",SQRT($Z$14))</f>
        <v/>
      </c>
      <c r="AA17" s="389" t="str">
        <f>IF(OR(ISBLANK(N7),AA3&lt;4),"",SQRT($AA$14))</f>
        <v/>
      </c>
      <c r="AB17" s="156"/>
      <c r="AC17" s="327" t="s">
        <v>30</v>
      </c>
      <c r="AD17" s="243" t="str">
        <f>IF(OR(ISBLANK(D7),ISBLANK(AD7),AND(ISBLANK(AD8),ISBLANK(AD10))),"",IF(ISNUMBER(AD8),AD7-AD15*SQRT((Z11^2+AD8^2)),AD7-AD15*SQRT((Z11^2+AD9^2))))</f>
        <v/>
      </c>
      <c r="AE17" s="244" t="str">
        <f>IF(OR(ISBLANK(AA5),ISBLANK(AE7),AND(ISBLANK(AE8),ISBLANK(AE10))),"",IF(ISNUMBER(AE8),AE7-AE15*SQRT((AA11^2+AE8^2)),AE7-AE15*SQRT((AA11^2+AE9^2))))</f>
        <v/>
      </c>
      <c r="AF17" s="164"/>
      <c r="AG17" s="164"/>
      <c r="AH17" s="163"/>
      <c r="AI17" s="163"/>
      <c r="AJ17" s="163"/>
      <c r="AK17" s="163"/>
      <c r="AL17" s="101"/>
      <c r="AM17" s="101"/>
      <c r="AN17" s="131"/>
      <c r="AO17" s="131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2:53" ht="20.100000000000001" customHeight="1" thickBot="1" x14ac:dyDescent="0.25">
      <c r="B18" s="342"/>
      <c r="C18" s="330" t="s">
        <v>91</v>
      </c>
      <c r="D18" s="287"/>
      <c r="E18" s="288"/>
      <c r="F18" s="288"/>
      <c r="G18" s="288"/>
      <c r="H18" s="288"/>
      <c r="I18" s="288"/>
      <c r="J18" s="288"/>
      <c r="K18" s="288"/>
      <c r="L18" s="288"/>
      <c r="M18" s="289"/>
      <c r="N18" s="291"/>
      <c r="O18" s="292"/>
      <c r="P18" s="292"/>
      <c r="Q18" s="292"/>
      <c r="R18" s="292"/>
      <c r="S18" s="288"/>
      <c r="T18" s="292"/>
      <c r="U18" s="292"/>
      <c r="V18" s="292"/>
      <c r="W18" s="293"/>
      <c r="X18" s="19"/>
      <c r="Y18" s="312" t="s">
        <v>157</v>
      </c>
      <c r="Z18" s="339" t="str">
        <f>IF(OR(ISBLANK(D7),Z3&lt;4),"",IF('P Calc'!AG5&gt;'P Calc'!AG4,"",SQRT($Z$15)))</f>
        <v/>
      </c>
      <c r="AA18" s="390" t="str">
        <f>IF(OR(ISBLANK(N7),AA3&lt;4),"",IF('P Calc'!AH5&gt;'P Calc'!AH4,"",SQRT($AA$15)))</f>
        <v/>
      </c>
      <c r="AB18" s="380"/>
      <c r="AC18" s="328" t="str">
        <f>Y32</f>
        <v>Conclusion:</v>
      </c>
      <c r="AD18" s="245" t="str">
        <f>IF(OR(ISBLANK(D7),ISBLANK(AD7),AND(ISBLANK(AD8),ISBLANK(AD10))),"",IF(AND(Z10&lt;AD16,Z10&gt;AD17),"Accept","Reject!"))</f>
        <v/>
      </c>
      <c r="AE18" s="246" t="str">
        <f>IF(OR(ISBLANK(AA5),ISBLANK(AE7),AND(ISBLANK(AE8),ISBLANK(AE10))),"",IF(AND(AA10&lt;AE16,AA10&gt;AE17),"Accept","Reject!"))</f>
        <v/>
      </c>
      <c r="AF18" s="165"/>
      <c r="AG18" s="164"/>
      <c r="AH18" s="163"/>
      <c r="AI18" s="163"/>
      <c r="AJ18" s="163"/>
      <c r="AK18" s="163"/>
      <c r="AL18" s="101"/>
      <c r="AM18" s="101"/>
      <c r="AN18" s="131"/>
      <c r="AO18" s="131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2:53" ht="20.100000000000001" customHeight="1" thickTop="1" x14ac:dyDescent="0.2">
      <c r="B19" s="343"/>
      <c r="C19" s="331" t="s">
        <v>92</v>
      </c>
      <c r="D19" s="294"/>
      <c r="E19" s="295"/>
      <c r="F19" s="296"/>
      <c r="G19" s="296"/>
      <c r="H19" s="296"/>
      <c r="I19" s="296"/>
      <c r="J19" s="296"/>
      <c r="K19" s="296"/>
      <c r="L19" s="296"/>
      <c r="M19" s="297"/>
      <c r="N19" s="298"/>
      <c r="O19" s="299"/>
      <c r="P19" s="300"/>
      <c r="Q19" s="300"/>
      <c r="R19" s="300"/>
      <c r="S19" s="296"/>
      <c r="T19" s="300"/>
      <c r="U19" s="300"/>
      <c r="V19" s="300"/>
      <c r="W19" s="301"/>
      <c r="X19" s="19"/>
      <c r="Y19" s="318" t="s">
        <v>94</v>
      </c>
      <c r="Z19" s="339" t="str">
        <f>IF(OR(ISBLANK(D7),Z3&lt;4),"",SQRT($Z$16))</f>
        <v/>
      </c>
      <c r="AA19" s="390" t="str">
        <f>IF(OR(ISBLANK(N7),AA3&lt;4),"",SQRT($AA$16))</f>
        <v/>
      </c>
      <c r="AB19" s="155"/>
      <c r="AC19" s="108"/>
      <c r="AD19" s="108"/>
      <c r="AE19" s="108"/>
      <c r="AF19" s="164"/>
      <c r="AG19" s="164"/>
      <c r="AH19" s="163"/>
      <c r="AI19" s="163"/>
      <c r="AJ19" s="163"/>
      <c r="AK19" s="163"/>
      <c r="AL19" s="101"/>
      <c r="AM19" s="101"/>
      <c r="AN19" s="131"/>
      <c r="AO19" s="131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2:53" ht="20.100000000000001" customHeight="1" x14ac:dyDescent="0.2">
      <c r="B20" s="80"/>
      <c r="C20" s="81" t="str">
        <f>IF(ISERROR($C$27),"Invalid data entry! 'Drag-and drop' and 'Cut and paste' are not supported.","")</f>
        <v/>
      </c>
      <c r="D20" s="185" t="str">
        <f>IF(COUNT(D10:D19)&lt;2,"",VAR(D10:D19))</f>
        <v/>
      </c>
      <c r="E20" s="185" t="str">
        <f t="shared" ref="E20:W20" si="0">IF(COUNT(E10:E19)&lt;2,"",VAR(E10:E19))</f>
        <v/>
      </c>
      <c r="F20" s="185" t="str">
        <f t="shared" si="0"/>
        <v/>
      </c>
      <c r="G20" s="185" t="str">
        <f t="shared" si="0"/>
        <v/>
      </c>
      <c r="H20" s="185" t="str">
        <f t="shared" si="0"/>
        <v/>
      </c>
      <c r="I20" s="185" t="str">
        <f t="shared" si="0"/>
        <v/>
      </c>
      <c r="J20" s="185" t="str">
        <f t="shared" si="0"/>
        <v/>
      </c>
      <c r="K20" s="185" t="str">
        <f t="shared" si="0"/>
        <v/>
      </c>
      <c r="L20" s="185" t="str">
        <f t="shared" si="0"/>
        <v/>
      </c>
      <c r="M20" s="185" t="str">
        <f t="shared" si="0"/>
        <v/>
      </c>
      <c r="N20" s="185" t="str">
        <f t="shared" si="0"/>
        <v/>
      </c>
      <c r="O20" s="185" t="str">
        <f t="shared" si="0"/>
        <v/>
      </c>
      <c r="P20" s="185" t="str">
        <f t="shared" si="0"/>
        <v/>
      </c>
      <c r="Q20" s="185" t="str">
        <f t="shared" si="0"/>
        <v/>
      </c>
      <c r="R20" s="185" t="str">
        <f t="shared" si="0"/>
        <v/>
      </c>
      <c r="S20" s="185" t="str">
        <f t="shared" si="0"/>
        <v/>
      </c>
      <c r="T20" s="185" t="str">
        <f t="shared" si="0"/>
        <v/>
      </c>
      <c r="U20" s="185" t="str">
        <f t="shared" si="0"/>
        <v/>
      </c>
      <c r="V20" s="185" t="str">
        <f t="shared" si="0"/>
        <v/>
      </c>
      <c r="W20" s="185" t="str">
        <f t="shared" si="0"/>
        <v/>
      </c>
      <c r="X20" s="19"/>
      <c r="Y20" s="312" t="s">
        <v>162</v>
      </c>
      <c r="Z20" s="224" t="str">
        <f>IF(OR(ISBLANK(D7),Z3&lt;4),"",100*Z17/Z10)</f>
        <v/>
      </c>
      <c r="AA20" s="391" t="str">
        <f>IF(OR(ISBLANK(N7),AA3&lt;4),"",100*AA17/AA10)</f>
        <v/>
      </c>
      <c r="AB20" s="155"/>
      <c r="AC20" s="108"/>
      <c r="AD20" s="108"/>
      <c r="AE20" s="108"/>
      <c r="AF20" s="164"/>
      <c r="AG20" s="164"/>
      <c r="AH20" s="163"/>
      <c r="AI20" s="163"/>
      <c r="AJ20" s="163"/>
      <c r="AK20" s="163"/>
      <c r="AL20" s="101"/>
      <c r="AM20" s="101"/>
      <c r="AN20" s="131"/>
      <c r="AO20" s="131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2:53" ht="20.25" customHeight="1" x14ac:dyDescent="0.2">
      <c r="B21" s="304"/>
      <c r="C21" s="302" t="s">
        <v>25</v>
      </c>
      <c r="D21" s="305" t="str">
        <f>IF(COUNT(D10:D19)&lt;2,"",AVERAGE(D10:D19))</f>
        <v/>
      </c>
      <c r="E21" s="305" t="str">
        <f t="shared" ref="E21:W21" si="1">IF(COUNT(E10:E19)&lt;2,"",AVERAGE(E10:E19))</f>
        <v/>
      </c>
      <c r="F21" s="305" t="str">
        <f t="shared" si="1"/>
        <v/>
      </c>
      <c r="G21" s="305" t="str">
        <f t="shared" si="1"/>
        <v/>
      </c>
      <c r="H21" s="305" t="str">
        <f t="shared" si="1"/>
        <v/>
      </c>
      <c r="I21" s="305" t="str">
        <f t="shared" si="1"/>
        <v/>
      </c>
      <c r="J21" s="305" t="str">
        <f t="shared" si="1"/>
        <v/>
      </c>
      <c r="K21" s="305" t="str">
        <f t="shared" si="1"/>
        <v/>
      </c>
      <c r="L21" s="305" t="str">
        <f t="shared" si="1"/>
        <v/>
      </c>
      <c r="M21" s="305" t="str">
        <f t="shared" si="1"/>
        <v/>
      </c>
      <c r="N21" s="306" t="str">
        <f t="shared" si="1"/>
        <v/>
      </c>
      <c r="O21" s="305" t="str">
        <f t="shared" si="1"/>
        <v/>
      </c>
      <c r="P21" s="305" t="str">
        <f t="shared" si="1"/>
        <v/>
      </c>
      <c r="Q21" s="305" t="str">
        <f t="shared" si="1"/>
        <v/>
      </c>
      <c r="R21" s="305" t="str">
        <f t="shared" si="1"/>
        <v/>
      </c>
      <c r="S21" s="305" t="str">
        <f t="shared" si="1"/>
        <v/>
      </c>
      <c r="T21" s="305" t="str">
        <f t="shared" si="1"/>
        <v/>
      </c>
      <c r="U21" s="305" t="str">
        <f t="shared" si="1"/>
        <v/>
      </c>
      <c r="V21" s="305" t="str">
        <f t="shared" si="1"/>
        <v/>
      </c>
      <c r="W21" s="305" t="str">
        <f t="shared" si="1"/>
        <v/>
      </c>
      <c r="X21" s="11"/>
      <c r="Y21" s="312" t="s">
        <v>155</v>
      </c>
      <c r="Z21" s="224" t="str">
        <f>IF(OR(ISBLANK(D7),Z3&lt;4,'P Calc'!AG5&gt;'P Calc'!AG4),"",100*Z18/Z10)</f>
        <v/>
      </c>
      <c r="AA21" s="225" t="str">
        <f>IF(OR(ISBLANK(N7),AA3&lt;4,'P Calc'!AH5&gt;'P Calc'!AH4),"",100*AA18/AA10)</f>
        <v/>
      </c>
      <c r="AB21" s="162"/>
      <c r="AC21" s="108"/>
      <c r="AD21" s="108"/>
      <c r="AE21" s="108"/>
      <c r="AF21" s="164"/>
      <c r="AG21" s="164"/>
      <c r="AH21" s="163"/>
      <c r="AI21" s="163"/>
      <c r="AJ21" s="163"/>
      <c r="AK21" s="163"/>
      <c r="AL21" s="101"/>
      <c r="AM21" s="101"/>
      <c r="AN21" s="131"/>
      <c r="AO21" s="131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  <row r="22" spans="2:53" ht="20.25" customHeight="1" thickBot="1" x14ac:dyDescent="0.25">
      <c r="B22" s="307"/>
      <c r="C22" s="303" t="s">
        <v>27</v>
      </c>
      <c r="D22" s="305" t="str">
        <f>IF(COUNT(D10:D19)&lt;2,"",STDEV(D10:D19))</f>
        <v/>
      </c>
      <c r="E22" s="305" t="str">
        <f t="shared" ref="E22:M22" si="2">IF(COUNT(E10:E19)&lt;2,"",STDEV(E10:E19))</f>
        <v/>
      </c>
      <c r="F22" s="305" t="str">
        <f t="shared" si="2"/>
        <v/>
      </c>
      <c r="G22" s="305" t="str">
        <f t="shared" si="2"/>
        <v/>
      </c>
      <c r="H22" s="305" t="str">
        <f t="shared" si="2"/>
        <v/>
      </c>
      <c r="I22" s="305" t="str">
        <f t="shared" si="2"/>
        <v/>
      </c>
      <c r="J22" s="305" t="str">
        <f t="shared" si="2"/>
        <v/>
      </c>
      <c r="K22" s="305" t="str">
        <f t="shared" si="2"/>
        <v/>
      </c>
      <c r="L22" s="305" t="str">
        <f t="shared" si="2"/>
        <v/>
      </c>
      <c r="M22" s="305" t="str">
        <f t="shared" si="2"/>
        <v/>
      </c>
      <c r="N22" s="306" t="str">
        <f>IF(COUNT(N10:N19)&lt;2,"",STDEV(N10:N19))</f>
        <v/>
      </c>
      <c r="O22" s="305" t="str">
        <f>IF(COUNT(O10:O19)&lt;2,"",STDEV(O10:O19))</f>
        <v/>
      </c>
      <c r="P22" s="305" t="str">
        <f t="shared" ref="P22:W22" si="3">IF(COUNT(P10:P19)&lt;2,"",STDEV(P10:P19))</f>
        <v/>
      </c>
      <c r="Q22" s="305" t="str">
        <f t="shared" si="3"/>
        <v/>
      </c>
      <c r="R22" s="305" t="str">
        <f t="shared" si="3"/>
        <v/>
      </c>
      <c r="S22" s="305" t="str">
        <f t="shared" si="3"/>
        <v/>
      </c>
      <c r="T22" s="305" t="str">
        <f t="shared" si="3"/>
        <v/>
      </c>
      <c r="U22" s="305" t="str">
        <f t="shared" si="3"/>
        <v/>
      </c>
      <c r="V22" s="305" t="str">
        <f t="shared" si="3"/>
        <v/>
      </c>
      <c r="W22" s="305" t="str">
        <f t="shared" si="3"/>
        <v/>
      </c>
      <c r="X22" s="7"/>
      <c r="Y22" s="313" t="s">
        <v>158</v>
      </c>
      <c r="Z22" s="226" t="str">
        <f>IF(OR(ISBLANK(D7),Z3&lt;4),"",100*Z19/Z10)</f>
        <v/>
      </c>
      <c r="AA22" s="227" t="str">
        <f>IF(OR(ISBLANK(N7),AA3&lt;4),"",100*AA19/AA10)</f>
        <v/>
      </c>
      <c r="AB22" s="155"/>
      <c r="AC22" s="156"/>
      <c r="AD22" s="174"/>
      <c r="AE22" s="174"/>
      <c r="AF22" s="164"/>
      <c r="AG22" s="164"/>
      <c r="AH22" s="163"/>
      <c r="AI22" s="163"/>
      <c r="AJ22" s="163"/>
      <c r="AK22" s="163"/>
      <c r="AL22" s="131"/>
      <c r="AM22" s="131"/>
      <c r="AN22" s="131"/>
      <c r="AO22" s="131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</row>
    <row r="23" spans="2:53" ht="20.25" customHeight="1" thickTop="1" x14ac:dyDescent="0.2">
      <c r="B23" s="307"/>
      <c r="C23" s="303" t="s">
        <v>159</v>
      </c>
      <c r="D23" s="305" t="str">
        <f>IF(ISNUMBER(D22),100*D22/D21,"")</f>
        <v/>
      </c>
      <c r="E23" s="305" t="str">
        <f t="shared" ref="E23:M23" si="4">IF(ISNUMBER(E22),100*E22/E21,"")</f>
        <v/>
      </c>
      <c r="F23" s="305" t="str">
        <f t="shared" si="4"/>
        <v/>
      </c>
      <c r="G23" s="305" t="str">
        <f t="shared" si="4"/>
        <v/>
      </c>
      <c r="H23" s="305" t="str">
        <f t="shared" si="4"/>
        <v/>
      </c>
      <c r="I23" s="305" t="str">
        <f t="shared" si="4"/>
        <v/>
      </c>
      <c r="J23" s="305" t="str">
        <f t="shared" si="4"/>
        <v/>
      </c>
      <c r="K23" s="305" t="str">
        <f t="shared" si="4"/>
        <v/>
      </c>
      <c r="L23" s="305" t="str">
        <f t="shared" si="4"/>
        <v/>
      </c>
      <c r="M23" s="308" t="str">
        <f t="shared" si="4"/>
        <v/>
      </c>
      <c r="N23" s="305" t="str">
        <f>IF(ISNUMBER(N22),100*N22/N21,"")</f>
        <v/>
      </c>
      <c r="O23" s="305" t="str">
        <f t="shared" ref="O23:W23" si="5">IF(ISNUMBER(O22),100*O22/O21,"")</f>
        <v/>
      </c>
      <c r="P23" s="305" t="str">
        <f t="shared" si="5"/>
        <v/>
      </c>
      <c r="Q23" s="305" t="str">
        <f t="shared" si="5"/>
        <v/>
      </c>
      <c r="R23" s="305" t="str">
        <f t="shared" si="5"/>
        <v/>
      </c>
      <c r="S23" s="305" t="str">
        <f t="shared" si="5"/>
        <v/>
      </c>
      <c r="T23" s="305" t="str">
        <f t="shared" si="5"/>
        <v/>
      </c>
      <c r="U23" s="305" t="str">
        <f t="shared" si="5"/>
        <v/>
      </c>
      <c r="V23" s="305" t="str">
        <f t="shared" si="5"/>
        <v/>
      </c>
      <c r="W23" s="305" t="str">
        <f t="shared" si="5"/>
        <v/>
      </c>
      <c r="X23" s="7"/>
      <c r="Y23" s="22"/>
      <c r="Z23" s="23"/>
      <c r="AA23" s="23"/>
      <c r="AB23" s="161"/>
      <c r="AC23" s="158"/>
      <c r="AD23" s="175"/>
      <c r="AE23" s="175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</row>
    <row r="24" spans="2:53" ht="20.25" customHeight="1" x14ac:dyDescent="0.2">
      <c r="B24" s="307"/>
      <c r="C24" s="303" t="s">
        <v>120</v>
      </c>
      <c r="D24" s="305" t="str">
        <f t="shared" ref="D24:W24" si="6">IF(COUNT(D10:D19)&lt;2,"",D22/SQRT(COUNT(D10:D19)))</f>
        <v/>
      </c>
      <c r="E24" s="305" t="str">
        <f t="shared" si="6"/>
        <v/>
      </c>
      <c r="F24" s="305" t="str">
        <f t="shared" si="6"/>
        <v/>
      </c>
      <c r="G24" s="305" t="str">
        <f t="shared" si="6"/>
        <v/>
      </c>
      <c r="H24" s="305" t="str">
        <f t="shared" si="6"/>
        <v/>
      </c>
      <c r="I24" s="305" t="str">
        <f t="shared" si="6"/>
        <v/>
      </c>
      <c r="J24" s="305" t="str">
        <f t="shared" si="6"/>
        <v/>
      </c>
      <c r="K24" s="305" t="str">
        <f t="shared" si="6"/>
        <v/>
      </c>
      <c r="L24" s="305" t="str">
        <f t="shared" si="6"/>
        <v/>
      </c>
      <c r="M24" s="308" t="str">
        <f t="shared" si="6"/>
        <v/>
      </c>
      <c r="N24" s="305" t="str">
        <f t="shared" si="6"/>
        <v/>
      </c>
      <c r="O24" s="305" t="str">
        <f t="shared" si="6"/>
        <v/>
      </c>
      <c r="P24" s="305" t="str">
        <f t="shared" si="6"/>
        <v/>
      </c>
      <c r="Q24" s="305" t="str">
        <f t="shared" si="6"/>
        <v/>
      </c>
      <c r="R24" s="305" t="str">
        <f t="shared" si="6"/>
        <v/>
      </c>
      <c r="S24" s="305" t="str">
        <f t="shared" si="6"/>
        <v/>
      </c>
      <c r="T24" s="305" t="str">
        <f t="shared" si="6"/>
        <v/>
      </c>
      <c r="U24" s="305" t="str">
        <f t="shared" si="6"/>
        <v/>
      </c>
      <c r="V24" s="305" t="str">
        <f t="shared" si="6"/>
        <v/>
      </c>
      <c r="W24" s="305" t="str">
        <f t="shared" si="6"/>
        <v/>
      </c>
      <c r="X24" s="7"/>
      <c r="Y24" s="281" t="s">
        <v>109</v>
      </c>
      <c r="Z24" s="23"/>
      <c r="AA24" s="23"/>
      <c r="AB24" s="157"/>
      <c r="AC24" s="158"/>
      <c r="AD24" s="159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</row>
    <row r="25" spans="2:53" ht="20.25" customHeight="1" x14ac:dyDescent="0.2">
      <c r="B25" s="307"/>
      <c r="C25" s="303" t="s">
        <v>29</v>
      </c>
      <c r="D25" s="309" t="str">
        <f>IF(COUNT(D10:D19)&lt;2,"",COUNT(D10:D19))</f>
        <v/>
      </c>
      <c r="E25" s="309" t="str">
        <f t="shared" ref="E25:W25" si="7">IF(COUNT(E10:E19)&lt;2,"",COUNT(E10:E19))</f>
        <v/>
      </c>
      <c r="F25" s="309" t="str">
        <f t="shared" si="7"/>
        <v/>
      </c>
      <c r="G25" s="309" t="str">
        <f t="shared" si="7"/>
        <v/>
      </c>
      <c r="H25" s="309" t="str">
        <f t="shared" si="7"/>
        <v/>
      </c>
      <c r="I25" s="309" t="str">
        <f t="shared" si="7"/>
        <v/>
      </c>
      <c r="J25" s="309" t="str">
        <f t="shared" si="7"/>
        <v/>
      </c>
      <c r="K25" s="309" t="str">
        <f t="shared" si="7"/>
        <v/>
      </c>
      <c r="L25" s="309" t="str">
        <f t="shared" si="7"/>
        <v/>
      </c>
      <c r="M25" s="309" t="str">
        <f t="shared" si="7"/>
        <v/>
      </c>
      <c r="N25" s="310" t="str">
        <f t="shared" si="7"/>
        <v/>
      </c>
      <c r="O25" s="309" t="str">
        <f t="shared" si="7"/>
        <v/>
      </c>
      <c r="P25" s="309" t="str">
        <f t="shared" si="7"/>
        <v/>
      </c>
      <c r="Q25" s="309" t="str">
        <f t="shared" si="7"/>
        <v/>
      </c>
      <c r="R25" s="309" t="str">
        <f t="shared" si="7"/>
        <v/>
      </c>
      <c r="S25" s="309" t="str">
        <f t="shared" si="7"/>
        <v/>
      </c>
      <c r="T25" s="309" t="str">
        <f t="shared" si="7"/>
        <v/>
      </c>
      <c r="U25" s="309" t="str">
        <f t="shared" si="7"/>
        <v/>
      </c>
      <c r="V25" s="309" t="str">
        <f t="shared" si="7"/>
        <v/>
      </c>
      <c r="W25" s="309" t="str">
        <f t="shared" si="7"/>
        <v/>
      </c>
      <c r="X25" s="7"/>
      <c r="Y25" s="281" t="s">
        <v>31</v>
      </c>
      <c r="Z25" s="7"/>
      <c r="AA25" s="25"/>
      <c r="AB25" s="7"/>
      <c r="AC25" s="20"/>
      <c r="AD25" s="7"/>
      <c r="AE25" s="26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</row>
    <row r="26" spans="2:53" ht="20.25" customHeight="1" thickBot="1" x14ac:dyDescent="0.25">
      <c r="B26" s="18"/>
      <c r="C26" s="21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11"/>
      <c r="U26" s="11"/>
      <c r="V26" s="11"/>
      <c r="W26" s="11"/>
      <c r="X26" s="7"/>
      <c r="Y26" s="281" t="s">
        <v>110</v>
      </c>
      <c r="Z26" s="7"/>
      <c r="AA26" s="25"/>
      <c r="AB26" s="7"/>
      <c r="AC26" s="21"/>
      <c r="AD26" s="24"/>
      <c r="AE26" s="26"/>
      <c r="AF26" s="7"/>
      <c r="AG26" s="7"/>
      <c r="AH26" s="26"/>
      <c r="AI26" s="26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</row>
    <row r="27" spans="2:53" ht="20.100000000000001" customHeight="1" thickTop="1" x14ac:dyDescent="0.2">
      <c r="B27" s="18"/>
      <c r="C27" s="1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247" t="s">
        <v>32</v>
      </c>
      <c r="Z27" s="248"/>
      <c r="AA27" s="249"/>
      <c r="AB27" s="7"/>
      <c r="AC27" s="21"/>
      <c r="AD27" s="7"/>
      <c r="AE27" s="26"/>
      <c r="AF27" s="7"/>
      <c r="AG27" s="7"/>
      <c r="AH27" s="26"/>
      <c r="AI27" s="26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</row>
    <row r="28" spans="2:53" ht="20.100000000000001" customHeight="1" x14ac:dyDescent="0.25">
      <c r="B28" s="18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250" t="str">
        <f>IF(OR(ISNUMBER(Z29),ISNUMBER(AA29)),"Calc SD","")</f>
        <v/>
      </c>
      <c r="Z28" s="251" t="str">
        <f>IF(ISNUMBER(Z29),Z29*$Z$10/100,"")</f>
        <v/>
      </c>
      <c r="AA28" s="252" t="str">
        <f>IF(ISNUMBER(AA29),AA29*$AA$10/100,"")</f>
        <v/>
      </c>
      <c r="AB28" s="7"/>
      <c r="AC28" s="7"/>
      <c r="AD28" s="7"/>
      <c r="AE28" s="26"/>
      <c r="AF28" s="7"/>
      <c r="AG28" s="26"/>
      <c r="AH28" s="26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</row>
    <row r="29" spans="2:53" ht="20.100000000000001" customHeight="1" x14ac:dyDescent="0.2">
      <c r="B29" s="18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253" t="s">
        <v>33</v>
      </c>
      <c r="Z29" s="254"/>
      <c r="AA29" s="255"/>
      <c r="AB29" s="7"/>
      <c r="AC29" s="24"/>
      <c r="AD29" s="7"/>
      <c r="AE29" s="26"/>
      <c r="AF29" s="26"/>
      <c r="AG29" s="26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</row>
    <row r="30" spans="2:53" ht="20.100000000000001" customHeight="1" x14ac:dyDescent="0.2">
      <c r="B30" s="18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253" t="s">
        <v>160</v>
      </c>
      <c r="Z30" s="254">
        <v>5</v>
      </c>
      <c r="AA30" s="255">
        <v>5</v>
      </c>
      <c r="AB30" s="7"/>
      <c r="AC30" s="7"/>
      <c r="AD30" s="26"/>
      <c r="AE30" s="26"/>
      <c r="AF30" s="26"/>
      <c r="AG30" s="26"/>
      <c r="AH30" s="26"/>
      <c r="AI30" s="26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</row>
    <row r="31" spans="2:53" ht="20.100000000000001" customHeight="1" x14ac:dyDescent="0.2">
      <c r="B31" s="18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256" t="s">
        <v>35</v>
      </c>
      <c r="Z31" s="257" t="str">
        <f>IF(OR(ISBLANK(D7),Z3&lt;4),"",'P Calc'!C15)</f>
        <v/>
      </c>
      <c r="AA31" s="258" t="str">
        <f>IF(OR(ISBLANK(N7),AA3&lt;4),"",'P Calc'!D15)</f>
        <v/>
      </c>
      <c r="AB31" s="26"/>
      <c r="AC31" s="7"/>
      <c r="AD31" s="26"/>
      <c r="AE31" s="11"/>
      <c r="AF31" s="26"/>
      <c r="AG31" s="26"/>
      <c r="AH31" s="26"/>
      <c r="AI31" s="26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</row>
    <row r="32" spans="2:53" ht="20.100000000000001" customHeight="1" thickBot="1" x14ac:dyDescent="0.3">
      <c r="B32" s="18"/>
      <c r="C32" s="6"/>
      <c r="D32" s="2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259" t="s">
        <v>2</v>
      </c>
      <c r="Z32" s="260" t="str">
        <f>IF(AND(OR(ISBLANK(D7),ISBLANK(Z27)),ISBLANK(Z29)),"",IF(Z17&lt;'P Calc'!$C$15,"Accept","Review!!"))</f>
        <v/>
      </c>
      <c r="AA32" s="261" t="str">
        <f>IF(AND(OR(ISBLANK(N7),ISBLANK(AA27)),ISBLANK(AA29)),"",IF(AA17&lt;'P Calc'!$D$15,"Accept","Review!!"))</f>
        <v/>
      </c>
      <c r="AB32" s="26"/>
      <c r="AC32" s="7"/>
      <c r="AD32" s="7"/>
      <c r="AE32" s="7"/>
      <c r="AF32" s="26"/>
      <c r="AG32" s="26"/>
      <c r="AH32" s="11"/>
      <c r="AI32" s="11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</row>
    <row r="33" spans="2:56" ht="20.100000000000001" customHeight="1" thickTop="1" x14ac:dyDescent="0.2">
      <c r="B33" s="18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253" t="s">
        <v>145</v>
      </c>
      <c r="Z33" s="262"/>
      <c r="AA33" s="263"/>
      <c r="AB33" s="26"/>
      <c r="AC33" s="7"/>
      <c r="AD33" s="26"/>
      <c r="AE33" s="7"/>
      <c r="AF33" s="26"/>
      <c r="AG33" s="26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</row>
    <row r="34" spans="2:56" ht="20.100000000000001" customHeight="1" x14ac:dyDescent="0.25">
      <c r="B34" s="18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250" t="str">
        <f>IF(OR(ISNUMBER(Z35),ISNUMBER(AA35)),"Calc SD","")</f>
        <v/>
      </c>
      <c r="Z34" s="251" t="str">
        <f>IF(ISNUMBER(Z35),Z35*$Z$10/100,"")</f>
        <v/>
      </c>
      <c r="AA34" s="252" t="str">
        <f>IF(ISNUMBER(AA35),AA35*$AA$10/100,"")</f>
        <v/>
      </c>
      <c r="AB34" s="26"/>
      <c r="AC34" s="26"/>
      <c r="AD34" s="26"/>
      <c r="AE34" s="7"/>
      <c r="AF34" s="26"/>
      <c r="AG34" s="11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</row>
    <row r="35" spans="2:56" ht="20.100000000000001" customHeight="1" x14ac:dyDescent="0.2">
      <c r="B35" s="18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253" t="s">
        <v>161</v>
      </c>
      <c r="Z35" s="264"/>
      <c r="AA35" s="265"/>
      <c r="AB35" s="26"/>
      <c r="AC35" s="7"/>
      <c r="AD35" s="26"/>
      <c r="AE35" s="7"/>
      <c r="AF35" s="11"/>
      <c r="AG35" s="7"/>
      <c r="AH35" s="28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</row>
    <row r="36" spans="2:56" ht="20.100000000000001" customHeight="1" x14ac:dyDescent="0.2">
      <c r="B36" s="18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253" t="str">
        <f>Y30</f>
        <v>False rejection rate  (α %):</v>
      </c>
      <c r="Z36" s="266">
        <v>5</v>
      </c>
      <c r="AA36" s="267">
        <v>5</v>
      </c>
      <c r="AB36" s="26"/>
      <c r="AC36" s="26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</row>
    <row r="37" spans="2:56" ht="20.100000000000001" customHeight="1" x14ac:dyDescent="0.2">
      <c r="B37" s="18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256" t="str">
        <f>Y31</f>
        <v>Verification value:</v>
      </c>
      <c r="Z37" s="268" t="str">
        <f>IF(OR(ISBLANK(D7),Z3&lt;4),"",'P Calc'!C29)</f>
        <v/>
      </c>
      <c r="AA37" s="269" t="str">
        <f>IF(OR(ISBLANK(N7),AA3&lt;4),"",'P Calc'!D29)</f>
        <v/>
      </c>
      <c r="AB37" s="11"/>
      <c r="AC37" s="26"/>
      <c r="AD37" s="26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</row>
    <row r="38" spans="2:56" ht="20.100000000000001" customHeight="1" thickBot="1" x14ac:dyDescent="0.3">
      <c r="B38" s="5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259" t="str">
        <f>Y32</f>
        <v>Conclusion:</v>
      </c>
      <c r="Z38" s="270" t="str">
        <f>IF(AND(OR(ISBLANK(D7),ISBLANK(Z33)),ISBLANK(Z35)),"",IF(Z19&lt;'P Calc'!C29,"Accept","Review!!"))</f>
        <v/>
      </c>
      <c r="AA38" s="271" t="str">
        <f>IF(AND(OR(ISBLANK(N7),ISBLANK(AA33)),ISBLANK(AA35)),"",IF(AA19&lt;'P Calc'!D29,"Accept","Review!!"))</f>
        <v/>
      </c>
      <c r="AB38" s="7"/>
      <c r="AC38" s="26"/>
      <c r="AD38" s="26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</row>
    <row r="39" spans="2:56" ht="20.100000000000001" customHeight="1" thickTop="1" x14ac:dyDescent="0.25">
      <c r="B39" s="21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272" t="s">
        <v>137</v>
      </c>
      <c r="Z39" s="273">
        <v>5</v>
      </c>
      <c r="AA39" s="274">
        <v>5</v>
      </c>
      <c r="AB39" s="7"/>
      <c r="AC39" s="26"/>
      <c r="AD39" s="11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</row>
    <row r="40" spans="2:56" ht="20.100000000000001" customHeight="1" x14ac:dyDescent="0.25">
      <c r="B40" s="21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275" t="s">
        <v>138</v>
      </c>
      <c r="Z40" s="276" t="str">
        <f>IF(ISBLANK(D7),"",IF('P Calc'!D67&lt;6,"Few obs",IF('P Calc'!E72&gt;'P Calc'!D71,"Check!","")))</f>
        <v/>
      </c>
      <c r="AA40" s="277" t="str">
        <f>IF(ISBLANK(N7),"",IF('P Calc'!M67&lt;6,"Few obs",IF('P Calc'!N72&gt;'P Calc'!M71,"Check!","")))</f>
        <v/>
      </c>
      <c r="AB40" s="101">
        <v>1</v>
      </c>
      <c r="AC40" s="153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</row>
    <row r="41" spans="2:56" ht="20.100000000000001" customHeight="1" thickBot="1" x14ac:dyDescent="0.3">
      <c r="B41" s="21"/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278" t="s">
        <v>139</v>
      </c>
      <c r="Z41" s="279" t="str">
        <f>IF(ISBLANK(D7),"",IF('P Calc'!D67&lt;6,"Few obs",IF('P Calc'!E73&gt;'P Calc'!D71,"Check!","")))</f>
        <v/>
      </c>
      <c r="AA41" s="280" t="str">
        <f>IF(ISBLANK(N7),"",IF('P Calc'!M67&lt;6,"Few obs",IF('P Calc'!N73&gt;'P Calc'!M71,"Check!","")))</f>
        <v/>
      </c>
      <c r="AB41" s="101">
        <v>5</v>
      </c>
      <c r="AC41" s="153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</row>
    <row r="42" spans="2:56" ht="23.25" customHeight="1" thickTop="1" x14ac:dyDescent="0.2">
      <c r="B42" s="6"/>
      <c r="C42" s="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29" t="s">
        <v>108</v>
      </c>
      <c r="Z42" s="26"/>
      <c r="AA42" s="7"/>
      <c r="AB42" s="7"/>
      <c r="AC42" s="11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</row>
    <row r="43" spans="2:56" ht="23.25" customHeight="1" x14ac:dyDescent="0.2">
      <c r="B43" s="6"/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109" t="s">
        <v>150</v>
      </c>
      <c r="Z43" s="31"/>
      <c r="AA43" s="32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</row>
    <row r="44" spans="2:56" ht="18.75" customHeight="1" x14ac:dyDescent="0.2">
      <c r="B44" s="6"/>
      <c r="C44" s="6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30" t="s">
        <v>167</v>
      </c>
      <c r="Z44" s="26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</row>
    <row r="45" spans="2:56" ht="13.5" thickBot="1" x14ac:dyDescent="0.25">
      <c r="B45" s="6"/>
      <c r="C45" s="6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11"/>
      <c r="Z45" s="26"/>
      <c r="AA45" s="11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</row>
    <row r="46" spans="2:56" ht="17.25" customHeight="1" thickTop="1" x14ac:dyDescent="0.25">
      <c r="B46" s="6"/>
      <c r="C46" s="6"/>
      <c r="D46" s="141"/>
      <c r="E46" s="142"/>
      <c r="F46" s="128"/>
      <c r="G46" s="144"/>
      <c r="H46" s="140" t="s">
        <v>131</v>
      </c>
      <c r="I46" s="208" t="s">
        <v>126</v>
      </c>
      <c r="J46" s="7"/>
      <c r="K46" s="7"/>
      <c r="L46" s="7"/>
      <c r="M46" s="7"/>
      <c r="N46" s="7"/>
      <c r="O46" s="141"/>
      <c r="P46" s="142"/>
      <c r="Q46" s="130"/>
      <c r="R46" s="144"/>
      <c r="S46" s="129" t="str">
        <f>+H46</f>
        <v>Display overall mean ± 2 SD  (Y/N)?</v>
      </c>
      <c r="T46" s="208" t="s">
        <v>126</v>
      </c>
      <c r="U46" s="7"/>
      <c r="V46" s="7"/>
      <c r="W46" s="7"/>
      <c r="X46" s="7"/>
      <c r="Y46" s="108"/>
      <c r="Z46" s="108"/>
      <c r="AA46" s="108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</row>
    <row r="47" spans="2:56" ht="17.25" customHeight="1" x14ac:dyDescent="0.25">
      <c r="B47" s="6"/>
      <c r="C47" s="6"/>
      <c r="D47" s="176"/>
      <c r="E47" s="177"/>
      <c r="F47" s="177"/>
      <c r="G47" s="178"/>
      <c r="H47" s="178" t="s">
        <v>130</v>
      </c>
      <c r="I47" s="209" t="s">
        <v>128</v>
      </c>
      <c r="J47" s="101" t="str">
        <f>IF(I47="SE", "Standard error",IF(I47="SD","Standard deviation",""))</f>
        <v>Standard error</v>
      </c>
      <c r="K47" s="7"/>
      <c r="L47" s="7"/>
      <c r="M47" s="7"/>
      <c r="N47" s="7"/>
      <c r="O47" s="176"/>
      <c r="P47" s="177"/>
      <c r="Q47" s="179"/>
      <c r="S47" s="180" t="str">
        <f>H47</f>
        <v>Display SEM (SE), SD (SD) or none (N)?</v>
      </c>
      <c r="T47" s="209" t="s">
        <v>128</v>
      </c>
      <c r="U47" s="101" t="str">
        <f>IF(T47="SE", "Standard error",IF(T47="SD","Standard deviation",""))</f>
        <v>Standard error</v>
      </c>
      <c r="V47" s="7"/>
      <c r="W47" s="7"/>
      <c r="X47" s="7"/>
      <c r="Y47" s="108"/>
      <c r="Z47" s="108"/>
      <c r="AA47" s="108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</row>
    <row r="48" spans="2:56" ht="17.25" customHeight="1" x14ac:dyDescent="0.25">
      <c r="B48" s="6"/>
      <c r="C48" s="6"/>
      <c r="D48" s="187"/>
      <c r="E48" s="188"/>
      <c r="F48" s="189"/>
      <c r="G48" s="189"/>
      <c r="H48" s="190" t="s">
        <v>106</v>
      </c>
      <c r="I48" s="210" t="s">
        <v>127</v>
      </c>
      <c r="J48" s="109"/>
      <c r="K48" s="108"/>
      <c r="L48" s="108"/>
      <c r="M48" s="108"/>
      <c r="N48" s="108"/>
      <c r="O48" s="191"/>
      <c r="P48" s="192"/>
      <c r="Q48" s="204"/>
      <c r="R48" s="204"/>
      <c r="S48" s="205" t="str">
        <f>+H48</f>
        <v>Display target means (Y/N):</v>
      </c>
      <c r="T48" s="211" t="s">
        <v>127</v>
      </c>
      <c r="U48" s="186"/>
      <c r="V48" s="163"/>
      <c r="W48" s="7"/>
      <c r="X48" s="107"/>
      <c r="Y48" s="7"/>
      <c r="Z48" s="7"/>
      <c r="AA48" s="108"/>
      <c r="AB48" s="108"/>
      <c r="AC48" s="108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</row>
    <row r="49" spans="2:53" ht="17.25" customHeight="1" thickBot="1" x14ac:dyDescent="0.3">
      <c r="B49" s="6"/>
      <c r="C49" s="6"/>
      <c r="D49" s="201"/>
      <c r="E49" s="202"/>
      <c r="F49" s="202"/>
      <c r="G49" s="202"/>
      <c r="H49" s="203" t="s">
        <v>151</v>
      </c>
      <c r="I49" s="214" t="s">
        <v>127</v>
      </c>
      <c r="J49" s="108"/>
      <c r="K49" s="108"/>
      <c r="L49" s="108"/>
      <c r="M49" s="108"/>
      <c r="N49" s="108"/>
      <c r="O49" s="201"/>
      <c r="P49" s="202"/>
      <c r="Q49" s="206"/>
      <c r="R49" s="206"/>
      <c r="S49" s="207" t="s">
        <v>151</v>
      </c>
      <c r="T49" s="213" t="s">
        <v>127</v>
      </c>
      <c r="U49" s="7"/>
      <c r="V49" s="127"/>
      <c r="W49" s="7"/>
      <c r="X49" s="7"/>
      <c r="Y49" s="7"/>
      <c r="Z49" s="31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</row>
    <row r="50" spans="2:53" ht="13.5" thickTop="1" x14ac:dyDescent="0.2">
      <c r="B50" s="6"/>
      <c r="C50" s="6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7"/>
      <c r="R50" s="7"/>
      <c r="S50" s="7"/>
      <c r="T50" s="7"/>
      <c r="U50" s="7"/>
      <c r="V50" s="7"/>
      <c r="W50" s="7"/>
      <c r="X50" s="7"/>
      <c r="Y50" s="32"/>
      <c r="Z50" s="11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</row>
    <row r="51" spans="2:53" ht="15" x14ac:dyDescent="0.2">
      <c r="B51" s="6"/>
      <c r="C51" s="6"/>
      <c r="D51" s="193" t="s">
        <v>81</v>
      </c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5"/>
      <c r="Q51" s="7"/>
      <c r="R51" s="7"/>
      <c r="S51" s="7"/>
      <c r="T51" s="7"/>
      <c r="U51" s="7"/>
      <c r="V51" s="7"/>
      <c r="W51" s="7"/>
      <c r="X51" s="7"/>
      <c r="Y51" s="32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</row>
    <row r="52" spans="2:53" ht="15" x14ac:dyDescent="0.2">
      <c r="B52" s="6"/>
      <c r="C52" s="6"/>
      <c r="D52" s="196" t="s">
        <v>82</v>
      </c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8"/>
      <c r="Q52" s="7"/>
      <c r="R52" s="7"/>
      <c r="S52" s="7"/>
      <c r="T52" s="7"/>
      <c r="U52" s="7"/>
      <c r="V52" s="7"/>
      <c r="W52" s="7"/>
      <c r="X52" s="7"/>
      <c r="Y52" s="7"/>
      <c r="Z52" s="32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</row>
    <row r="53" spans="2:53" x14ac:dyDescent="0.2">
      <c r="B53" s="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32"/>
      <c r="AA53" s="33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</row>
    <row r="54" spans="2:53" ht="15" x14ac:dyDescent="0.2">
      <c r="B54" s="6"/>
      <c r="C54" s="7"/>
      <c r="D54" s="7"/>
      <c r="E54" s="7"/>
      <c r="F54" s="7"/>
      <c r="G54" s="7"/>
      <c r="H54" s="7"/>
      <c r="I54" s="7"/>
      <c r="J54" s="143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32"/>
      <c r="Z54" s="6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</row>
    <row r="55" spans="2:53" x14ac:dyDescent="0.2">
      <c r="B55" s="6"/>
      <c r="C55" s="7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7"/>
      <c r="S55" s="7"/>
      <c r="T55" s="7"/>
      <c r="U55" s="7"/>
      <c r="V55" s="7"/>
      <c r="W55" s="7"/>
      <c r="X55" s="7"/>
      <c r="Y55" s="32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</row>
    <row r="56" spans="2:53" x14ac:dyDescent="0.2">
      <c r="B56" s="6"/>
      <c r="C56" s="7"/>
      <c r="D56" s="101"/>
      <c r="E56" s="100">
        <f>MAX(D10:M19)</f>
        <v>0</v>
      </c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54">
        <f>MAX(N10:W19)</f>
        <v>0</v>
      </c>
      <c r="Q56" s="101"/>
      <c r="R56" s="7"/>
      <c r="S56" s="7"/>
      <c r="T56" s="7"/>
      <c r="U56" s="7"/>
      <c r="V56" s="7"/>
      <c r="W56" s="7"/>
      <c r="X56" s="7"/>
      <c r="Y56" s="32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</row>
    <row r="57" spans="2:53" x14ac:dyDescent="0.2">
      <c r="B57" s="6"/>
      <c r="C57" s="131"/>
      <c r="D57" s="101"/>
      <c r="E57" s="152">
        <f>MIN(D10:M19)</f>
        <v>0</v>
      </c>
      <c r="F57" s="101"/>
      <c r="G57" s="163"/>
      <c r="H57" s="163"/>
      <c r="I57" s="101"/>
      <c r="J57" s="101"/>
      <c r="K57" s="101"/>
      <c r="L57" s="101"/>
      <c r="M57" s="101"/>
      <c r="N57" s="101"/>
      <c r="O57" s="101"/>
      <c r="P57" s="154">
        <f>MIN(N10:W19)</f>
        <v>0</v>
      </c>
      <c r="Q57" s="101"/>
      <c r="R57" s="131"/>
      <c r="S57" s="7"/>
      <c r="T57" s="7"/>
      <c r="U57" s="7"/>
      <c r="V57" s="7"/>
      <c r="W57" s="7"/>
      <c r="X57" s="7"/>
      <c r="Y57" s="32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</row>
    <row r="58" spans="2:53" x14ac:dyDescent="0.2">
      <c r="B58" s="6"/>
      <c r="C58" s="131"/>
      <c r="D58" s="101"/>
      <c r="E58" s="132" t="str">
        <f>IF(I47="sd","Mean ± SD",IF(I47="se","Mean ± SEM",""))</f>
        <v>Mean ± SEM</v>
      </c>
      <c r="F58" s="132"/>
      <c r="G58" s="186"/>
      <c r="H58" s="186"/>
      <c r="I58" s="132"/>
      <c r="J58" s="132"/>
      <c r="K58" s="132"/>
      <c r="L58" s="132"/>
      <c r="M58" s="132"/>
      <c r="N58" s="132"/>
      <c r="O58" s="132" t="str">
        <f>IF(T47="sd","Mean ± SD",IF(T47="se","Mean ± SEM",""))</f>
        <v>Mean ± SEM</v>
      </c>
      <c r="P58" s="132"/>
      <c r="Q58" s="101"/>
      <c r="R58" s="131"/>
      <c r="S58" s="7"/>
      <c r="T58" s="7"/>
      <c r="U58" s="7"/>
      <c r="V58" s="7"/>
      <c r="W58" s="7"/>
      <c r="X58" s="7"/>
      <c r="Y58" s="32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</row>
    <row r="59" spans="2:53" x14ac:dyDescent="0.2">
      <c r="B59" s="6"/>
      <c r="C59" s="131"/>
      <c r="D59" s="101"/>
      <c r="E59" s="132" t="s">
        <v>126</v>
      </c>
      <c r="F59" s="101"/>
      <c r="G59" s="163"/>
      <c r="H59" s="163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7"/>
      <c r="T59" s="7"/>
      <c r="U59" s="7"/>
      <c r="V59" s="7"/>
      <c r="W59" s="7"/>
      <c r="X59" s="7"/>
      <c r="Y59" s="32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</row>
    <row r="60" spans="2:53" x14ac:dyDescent="0.2">
      <c r="B60" s="6"/>
      <c r="C60" s="131"/>
      <c r="D60" s="101"/>
      <c r="E60" s="132" t="s">
        <v>127</v>
      </c>
      <c r="F60" s="101"/>
      <c r="G60" s="163"/>
      <c r="H60" s="163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</row>
    <row r="61" spans="2:53" x14ac:dyDescent="0.2">
      <c r="B61" s="6"/>
      <c r="C61" s="131"/>
      <c r="D61" s="101"/>
      <c r="E61" s="132" t="s">
        <v>128</v>
      </c>
      <c r="F61" s="101"/>
      <c r="G61" s="163"/>
      <c r="H61" s="163"/>
      <c r="I61" s="131"/>
      <c r="J61" s="131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</row>
    <row r="62" spans="2:53" x14ac:dyDescent="0.2">
      <c r="B62" s="6"/>
      <c r="C62" s="131"/>
      <c r="D62" s="101"/>
      <c r="E62" s="132" t="s">
        <v>44</v>
      </c>
      <c r="F62" s="101"/>
      <c r="G62" s="163"/>
      <c r="H62" s="163"/>
      <c r="I62" s="131"/>
      <c r="J62" s="131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</row>
    <row r="63" spans="2:53" x14ac:dyDescent="0.2">
      <c r="B63" s="6"/>
      <c r="C63" s="131"/>
      <c r="D63" s="101"/>
      <c r="E63" s="163"/>
      <c r="F63" s="163"/>
      <c r="G63" s="163"/>
      <c r="H63" s="163"/>
      <c r="I63" s="131"/>
      <c r="J63" s="131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32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</row>
    <row r="64" spans="2:53" x14ac:dyDescent="0.2">
      <c r="B64" s="6"/>
      <c r="C64" s="131"/>
      <c r="D64" s="131"/>
      <c r="E64" s="163"/>
      <c r="F64" s="163"/>
      <c r="G64" s="163"/>
      <c r="H64" s="163"/>
      <c r="I64" s="131"/>
      <c r="J64" s="131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</row>
    <row r="65" spans="1:53" x14ac:dyDescent="0.2">
      <c r="B65" s="6"/>
      <c r="C65" s="7"/>
      <c r="D65" s="131"/>
      <c r="E65" s="163"/>
      <c r="F65" s="163"/>
      <c r="G65" s="163"/>
      <c r="H65" s="163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</row>
    <row r="66" spans="1:53" x14ac:dyDescent="0.2">
      <c r="B66" s="6"/>
      <c r="C66" s="7"/>
      <c r="D66" s="131"/>
      <c r="E66" s="163"/>
      <c r="F66" s="163"/>
      <c r="G66" s="163"/>
      <c r="H66" s="163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</row>
    <row r="67" spans="1:53" x14ac:dyDescent="0.2">
      <c r="B67" s="6"/>
      <c r="C67" s="7"/>
      <c r="D67" s="131"/>
      <c r="E67" s="163"/>
      <c r="F67" s="163"/>
      <c r="G67" s="163"/>
      <c r="H67" s="163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</row>
    <row r="68" spans="1:53" x14ac:dyDescent="0.2">
      <c r="B68" s="7"/>
      <c r="C68" s="7"/>
      <c r="D68" s="131"/>
      <c r="E68" s="131"/>
      <c r="F68" s="131"/>
      <c r="G68" s="131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</row>
    <row r="69" spans="1:53" x14ac:dyDescent="0.2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</row>
    <row r="70" spans="1:53" x14ac:dyDescent="0.2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</row>
    <row r="71" spans="1:53" x14ac:dyDescent="0.2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34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</row>
    <row r="72" spans="1:53" x14ac:dyDescent="0.2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</row>
    <row r="73" spans="1:53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</row>
    <row r="74" spans="1:53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</row>
    <row r="75" spans="1:53" s="35" customFormat="1" x14ac:dyDescent="0.2">
      <c r="A75" s="108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</row>
    <row r="76" spans="1:53" s="35" customFormat="1" x14ac:dyDescent="0.2">
      <c r="A76" s="108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</row>
    <row r="77" spans="1:53" s="35" customFormat="1" x14ac:dyDescent="0.2">
      <c r="A77" s="108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</row>
    <row r="78" spans="1:53" s="35" customFormat="1" x14ac:dyDescent="0.2">
      <c r="A78" s="108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</row>
    <row r="79" spans="1:53" s="35" customFormat="1" x14ac:dyDescent="0.2">
      <c r="A79" s="108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</row>
    <row r="80" spans="1:53" s="35" customFormat="1" x14ac:dyDescent="0.2">
      <c r="A80" s="108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</row>
    <row r="81" spans="1:53" s="35" customFormat="1" x14ac:dyDescent="0.2">
      <c r="A81" s="108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</row>
    <row r="82" spans="1:53" s="35" customFormat="1" x14ac:dyDescent="0.2">
      <c r="A82" s="108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</row>
    <row r="83" spans="1:53" s="35" customFormat="1" x14ac:dyDescent="0.2">
      <c r="A83" s="108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</row>
    <row r="84" spans="1:53" s="35" customFormat="1" x14ac:dyDescent="0.2">
      <c r="A84" s="108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</row>
    <row r="85" spans="1:53" s="35" customFormat="1" x14ac:dyDescent="0.2">
      <c r="A85" s="108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</row>
    <row r="86" spans="1:53" x14ac:dyDescent="0.2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</row>
    <row r="87" spans="1:53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</row>
    <row r="88" spans="1:53" x14ac:dyDescent="0.2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</row>
    <row r="89" spans="1:53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</row>
    <row r="90" spans="1:53" x14ac:dyDescent="0.2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</row>
    <row r="91" spans="1:53" x14ac:dyDescent="0.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</row>
    <row r="92" spans="1:53" x14ac:dyDescent="0.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</row>
    <row r="93" spans="1:53" x14ac:dyDescent="0.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</row>
    <row r="94" spans="1:53" x14ac:dyDescent="0.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</row>
    <row r="95" spans="1:53" x14ac:dyDescent="0.2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</row>
    <row r="96" spans="1:53" x14ac:dyDescent="0.2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</row>
    <row r="97" spans="2:53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</row>
    <row r="98" spans="2:53" x14ac:dyDescent="0.2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</row>
    <row r="99" spans="2:53" x14ac:dyDescent="0.2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</row>
    <row r="100" spans="2:53" x14ac:dyDescent="0.2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</row>
    <row r="101" spans="2:53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</row>
    <row r="102" spans="2:53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</row>
    <row r="103" spans="2:53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C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</row>
    <row r="104" spans="2:53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</row>
    <row r="105" spans="2:53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2:53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Y106" s="7"/>
      <c r="Z106" s="7"/>
      <c r="AA106" s="7"/>
    </row>
    <row r="107" spans="2:53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Y107" s="7"/>
      <c r="Z107" s="7"/>
      <c r="AA107" s="7"/>
    </row>
    <row r="108" spans="2:53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Y108" s="7"/>
      <c r="Z108" s="7"/>
      <c r="AA108" s="7"/>
    </row>
    <row r="109" spans="2:53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Y109" s="7"/>
      <c r="Z109" s="7"/>
      <c r="AA109" s="7"/>
    </row>
    <row r="110" spans="2:53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Y110" s="7"/>
      <c r="Z110" s="7"/>
      <c r="AA110" s="7"/>
    </row>
    <row r="111" spans="2:53" x14ac:dyDescent="0.2">
      <c r="B111" s="7"/>
    </row>
  </sheetData>
  <sheetProtection password="DD51" sheet="1" scenarios="1" formatCells="0"/>
  <mergeCells count="20">
    <mergeCell ref="AD5:AD6"/>
    <mergeCell ref="AE5:AE6"/>
    <mergeCell ref="J3:M5"/>
    <mergeCell ref="P2:Q2"/>
    <mergeCell ref="P3:Q3"/>
    <mergeCell ref="T3:W5"/>
    <mergeCell ref="P4:S4"/>
    <mergeCell ref="T2:W2"/>
    <mergeCell ref="D6:W6"/>
    <mergeCell ref="Z5:Z6"/>
    <mergeCell ref="AA5:AA6"/>
    <mergeCell ref="B10:B19"/>
    <mergeCell ref="D7:M7"/>
    <mergeCell ref="N7:W7"/>
    <mergeCell ref="P5:S5"/>
    <mergeCell ref="E2:G2"/>
    <mergeCell ref="E3:G3"/>
    <mergeCell ref="E4:I4"/>
    <mergeCell ref="E5:I5"/>
    <mergeCell ref="J2:M2"/>
  </mergeCells>
  <phoneticPr fontId="0" type="noConversion"/>
  <conditionalFormatting sqref="Z32:AA32 Z38:AA41">
    <cfRule type="cellIs" dxfId="7" priority="11" stopIfTrue="1" operator="equal">
      <formula>"Review!!"</formula>
    </cfRule>
  </conditionalFormatting>
  <conditionalFormatting sqref="AD18:AE18">
    <cfRule type="cellIs" dxfId="6" priority="8" stopIfTrue="1" operator="equal">
      <formula>"Accept"</formula>
    </cfRule>
  </conditionalFormatting>
  <conditionalFormatting sqref="H58">
    <cfRule type="cellIs" dxfId="5" priority="7" operator="equal">
      <formula>$E$56</formula>
    </cfRule>
  </conditionalFormatting>
  <conditionalFormatting sqref="D10:M19">
    <cfRule type="cellIs" dxfId="4" priority="5" operator="equal">
      <formula>$E$57</formula>
    </cfRule>
    <cfRule type="cellIs" dxfId="3" priority="6" operator="equal">
      <formula>$E$56</formula>
    </cfRule>
  </conditionalFormatting>
  <conditionalFormatting sqref="P58">
    <cfRule type="cellIs" dxfId="2" priority="4" operator="equal">
      <formula>$P$56</formula>
    </cfRule>
  </conditionalFormatting>
  <conditionalFormatting sqref="N10:W19">
    <cfRule type="cellIs" dxfId="1" priority="2" operator="equal">
      <formula>$P$57</formula>
    </cfRule>
    <cfRule type="cellIs" dxfId="0" priority="3" operator="equal">
      <formula>$P$56</formula>
    </cfRule>
  </conditionalFormatting>
  <dataValidations count="5">
    <dataValidation type="list" allowBlank="1" showInputMessage="1" showErrorMessage="1" sqref="Z39:AA39">
      <formula1>$AB$40:$AB$41</formula1>
    </dataValidation>
    <dataValidation type="list" allowBlank="1" showInputMessage="1" showErrorMessage="1" prompt="Only &quot;Y&quot; or &quot;N&quot; is accepted" sqref="I46">
      <formula1>$E$59:$E$60</formula1>
    </dataValidation>
    <dataValidation type="list" allowBlank="1" showInputMessage="1" showErrorMessage="1" prompt="Only &quot;SE&quot;, &quot;SD&quot; or &quot;N&quot; is accepted" sqref="I47">
      <formula1>$E$60:$E$62</formula1>
    </dataValidation>
    <dataValidation type="list" allowBlank="1" showInputMessage="1" showErrorMessage="1" sqref="T46 I48:I49 T48:T49">
      <formula1>$E$59:$E$60</formula1>
    </dataValidation>
    <dataValidation type="list" allowBlank="1" showInputMessage="1" showErrorMessage="1" prompt="Only &quot;SE&quot;, &quot;SD&quot; or &quot;N&quot; is valid" sqref="T47">
      <formula1>$E$60:$E$62</formula1>
    </dataValidation>
  </dataValidations>
  <printOptions horizontalCentered="1"/>
  <pageMargins left="0.57999999999999996" right="0.45" top="0.62" bottom="0.67" header="0.51181102362204722" footer="0.51181102362204722"/>
  <pageSetup paperSize="9" scale="54" orientation="landscape" r:id="rId1"/>
  <headerFooter alignWithMargins="0">
    <oddFooter>&amp;R&amp;F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0"/>
  <sheetViews>
    <sheetView workbookViewId="0"/>
  </sheetViews>
  <sheetFormatPr defaultRowHeight="12.75" x14ac:dyDescent="0.2"/>
  <sheetData>
    <row r="3" spans="2:8" x14ac:dyDescent="0.2">
      <c r="B3" s="183"/>
      <c r="C3" s="183"/>
      <c r="D3" s="183"/>
      <c r="E3" s="183"/>
      <c r="F3" s="183"/>
      <c r="G3" s="183"/>
      <c r="H3" s="183"/>
    </row>
    <row r="4" spans="2:8" ht="15" x14ac:dyDescent="0.25">
      <c r="B4" s="183"/>
      <c r="C4" s="184"/>
      <c r="D4" s="184"/>
      <c r="E4" s="184"/>
      <c r="F4" s="184"/>
      <c r="G4" s="184"/>
      <c r="H4" s="183"/>
    </row>
    <row r="5" spans="2:8" ht="15" x14ac:dyDescent="0.25">
      <c r="B5" s="183"/>
      <c r="C5" s="184"/>
      <c r="D5" s="184"/>
      <c r="E5" s="184"/>
      <c r="F5" s="184"/>
      <c r="G5" s="184"/>
      <c r="H5" s="183"/>
    </row>
    <row r="6" spans="2:8" ht="15" x14ac:dyDescent="0.25">
      <c r="B6" s="183"/>
      <c r="C6" s="184"/>
      <c r="D6" s="184"/>
      <c r="E6" s="184"/>
      <c r="F6" s="184"/>
      <c r="G6" s="184"/>
      <c r="H6" s="183"/>
    </row>
    <row r="7" spans="2:8" ht="15" x14ac:dyDescent="0.25">
      <c r="B7" s="183"/>
      <c r="C7" s="184"/>
      <c r="D7" s="184"/>
      <c r="E7" s="184"/>
      <c r="F7" s="184"/>
      <c r="G7" s="184"/>
      <c r="H7" s="183"/>
    </row>
    <row r="8" spans="2:8" ht="15" x14ac:dyDescent="0.25">
      <c r="B8" s="183"/>
      <c r="C8" s="184"/>
      <c r="D8" s="184"/>
      <c r="E8" s="184"/>
      <c r="F8" s="184"/>
      <c r="G8" s="184"/>
      <c r="H8" s="183"/>
    </row>
    <row r="9" spans="2:8" x14ac:dyDescent="0.2">
      <c r="B9" s="183"/>
      <c r="C9" s="183"/>
      <c r="D9" s="183"/>
      <c r="E9" s="183"/>
      <c r="F9" s="183"/>
      <c r="G9" s="183"/>
      <c r="H9" s="183"/>
    </row>
    <row r="10" spans="2:8" x14ac:dyDescent="0.2">
      <c r="B10" s="183"/>
      <c r="C10" s="183"/>
      <c r="D10" s="183"/>
      <c r="E10" s="183"/>
      <c r="F10" s="183"/>
      <c r="G10" s="183"/>
      <c r="H10" s="18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81"/>
  <sheetViews>
    <sheetView topLeftCell="A4" zoomScale="75" zoomScaleNormal="75" workbookViewId="0">
      <pane xSplit="1" topLeftCell="B1" activePane="topRight" state="frozenSplit"/>
      <selection activeCell="X17" sqref="X17"/>
      <selection pane="topRight" activeCell="C52" sqref="C52:V61"/>
    </sheetView>
  </sheetViews>
  <sheetFormatPr defaultRowHeight="12.75" x14ac:dyDescent="0.2"/>
  <cols>
    <col min="1" max="1" width="33.28515625" style="45" bestFit="1" customWidth="1"/>
    <col min="2" max="2" width="3" style="45" customWidth="1"/>
    <col min="3" max="7" width="9.28515625" style="45" bestFit="1" customWidth="1"/>
    <col min="8" max="8" width="10.5703125" style="45" bestFit="1" customWidth="1"/>
    <col min="9" max="9" width="9.5703125" style="45" bestFit="1" customWidth="1"/>
    <col min="10" max="12" width="9.28515625" style="45" customWidth="1"/>
    <col min="13" max="15" width="9.28515625" style="45" bestFit="1" customWidth="1"/>
    <col min="16" max="16" width="11.28515625" style="45" customWidth="1"/>
    <col min="17" max="17" width="11.28515625" style="45" bestFit="1" customWidth="1"/>
    <col min="18" max="19" width="9.28515625" style="45" bestFit="1" customWidth="1"/>
    <col min="20" max="22" width="9.28515625" style="45" customWidth="1"/>
    <col min="23" max="26" width="10" style="45" customWidth="1"/>
    <col min="27" max="28" width="12.42578125" style="45" bestFit="1" customWidth="1"/>
    <col min="29" max="29" width="9.140625" style="45"/>
    <col min="30" max="30" width="11.5703125" style="45" bestFit="1" customWidth="1"/>
    <col min="31" max="31" width="9.140625" style="45"/>
    <col min="32" max="32" width="14.42578125" style="45" bestFit="1" customWidth="1"/>
    <col min="33" max="16384" width="9.140625" style="45"/>
  </cols>
  <sheetData>
    <row r="1" spans="1:34" x14ac:dyDescent="0.2">
      <c r="A1" s="36"/>
      <c r="B1" s="36"/>
      <c r="C1" s="37" t="s">
        <v>3</v>
      </c>
      <c r="D1" s="38" t="s">
        <v>4</v>
      </c>
      <c r="E1" s="38" t="s">
        <v>5</v>
      </c>
      <c r="F1" s="38" t="s">
        <v>6</v>
      </c>
      <c r="G1" s="38" t="s">
        <v>7</v>
      </c>
      <c r="H1" s="38" t="s">
        <v>8</v>
      </c>
      <c r="I1" s="38" t="s">
        <v>9</v>
      </c>
      <c r="J1" s="38" t="s">
        <v>95</v>
      </c>
      <c r="K1" s="38" t="s">
        <v>96</v>
      </c>
      <c r="L1" s="38" t="s">
        <v>97</v>
      </c>
      <c r="M1" s="39" t="s">
        <v>36</v>
      </c>
      <c r="N1" s="38" t="s">
        <v>37</v>
      </c>
      <c r="O1" s="38" t="s">
        <v>38</v>
      </c>
      <c r="P1" s="38" t="s">
        <v>39</v>
      </c>
      <c r="Q1" s="38" t="s">
        <v>40</v>
      </c>
      <c r="R1" s="38" t="s">
        <v>41</v>
      </c>
      <c r="S1" s="40" t="s">
        <v>42</v>
      </c>
      <c r="T1" s="40" t="s">
        <v>98</v>
      </c>
      <c r="U1" s="40" t="s">
        <v>99</v>
      </c>
      <c r="V1" s="41" t="s">
        <v>100</v>
      </c>
      <c r="W1" s="42"/>
      <c r="X1" s="36"/>
      <c r="Y1" s="36"/>
      <c r="Z1" s="43" t="s">
        <v>43</v>
      </c>
      <c r="AA1" s="44" t="e">
        <f>AVERAGE('Precision '!D10:M19)</f>
        <v>#DIV/0!</v>
      </c>
      <c r="AB1" s="44" t="e">
        <f>AVERAGE('Precision '!N10:W19)</f>
        <v>#DIV/0!</v>
      </c>
      <c r="AC1" s="36"/>
    </row>
    <row r="2" spans="1:34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85"/>
      <c r="N2" s="36"/>
      <c r="O2" s="36"/>
      <c r="P2" s="36"/>
      <c r="Q2" s="36"/>
      <c r="R2" s="36"/>
      <c r="S2" s="36"/>
      <c r="T2" s="36"/>
      <c r="U2" s="36"/>
      <c r="V2" s="36"/>
      <c r="W2" s="42"/>
      <c r="X2" s="36"/>
      <c r="Y2" s="36"/>
      <c r="Z2" s="43" t="s">
        <v>44</v>
      </c>
      <c r="AA2" s="44" t="e">
        <f>STDEV('Precision '!D10:M19)</f>
        <v>#DIV/0!</v>
      </c>
      <c r="AB2" s="44" t="e">
        <f>STDEV('Precision '!N10:V19)</f>
        <v>#DIV/0!</v>
      </c>
      <c r="AC2" s="36"/>
      <c r="AE2" s="67"/>
    </row>
    <row r="3" spans="1:34" x14ac:dyDescent="0.2">
      <c r="A3" s="36" t="s">
        <v>45</v>
      </c>
      <c r="B3" s="36"/>
      <c r="C3" s="43" t="str">
        <f>IF('Precision '!D25&lt;2,NA(),'Precision '!D21)</f>
        <v/>
      </c>
      <c r="D3" s="43" t="str">
        <f>IF('Precision '!E25&lt;2,NA(),'Precision '!E21)</f>
        <v/>
      </c>
      <c r="E3" s="43" t="str">
        <f>IF('Precision '!F25&lt;2,NA(),'Precision '!F21)</f>
        <v/>
      </c>
      <c r="F3" s="43" t="str">
        <f>IF('Precision '!G25&lt;2,NA(),'Precision '!G21)</f>
        <v/>
      </c>
      <c r="G3" s="43" t="str">
        <f>IF('Precision '!H25&lt;2,NA(),'Precision '!H21)</f>
        <v/>
      </c>
      <c r="H3" s="43" t="str">
        <f>IF('Precision '!I25&lt;2,NA(),'Precision '!I21)</f>
        <v/>
      </c>
      <c r="I3" s="43" t="str">
        <f>IF('Precision '!J25&lt;2,NA(),'Precision '!J21)</f>
        <v/>
      </c>
      <c r="J3" s="43" t="str">
        <f>IF('Precision '!K25&lt;2,NA(),'Precision '!K21)</f>
        <v/>
      </c>
      <c r="K3" s="43" t="str">
        <f>IF('Precision '!L25&lt;2,NA(),'Precision '!L21)</f>
        <v/>
      </c>
      <c r="L3" s="43" t="str">
        <f>IF('Precision '!M25&lt;2,NA(),'Precision '!M21)</f>
        <v/>
      </c>
      <c r="M3" s="86" t="str">
        <f>'Precision '!N21</f>
        <v/>
      </c>
      <c r="N3" s="43" t="str">
        <f>'Precision '!O21</f>
        <v/>
      </c>
      <c r="O3" s="43" t="str">
        <f>'Precision '!P21</f>
        <v/>
      </c>
      <c r="P3" s="43" t="str">
        <f>'Precision '!Q21</f>
        <v/>
      </c>
      <c r="Q3" s="43" t="str">
        <f>'Precision '!R21</f>
        <v/>
      </c>
      <c r="R3" s="43" t="str">
        <f>'Precision '!S21</f>
        <v/>
      </c>
      <c r="S3" s="43" t="str">
        <f>'Precision '!T21</f>
        <v/>
      </c>
      <c r="T3" s="43" t="str">
        <f>'Precision '!U21</f>
        <v/>
      </c>
      <c r="U3" s="43" t="str">
        <f>'Precision '!V21</f>
        <v/>
      </c>
      <c r="V3" s="46" t="str">
        <f>'Precision '!W21</f>
        <v/>
      </c>
      <c r="W3" s="36"/>
      <c r="X3" s="36"/>
      <c r="Y3" s="36"/>
      <c r="Z3" s="47" t="s">
        <v>0</v>
      </c>
      <c r="AA3" s="48">
        <f>SUM(C7:L7)</f>
        <v>0</v>
      </c>
      <c r="AB3" s="48">
        <f>SUM(M7:V7)</f>
        <v>0</v>
      </c>
      <c r="AC3" s="36"/>
      <c r="AD3" s="40" t="s">
        <v>117</v>
      </c>
      <c r="AE3" s="40" t="s">
        <v>118</v>
      </c>
      <c r="AG3" s="40" t="s">
        <v>117</v>
      </c>
      <c r="AH3" s="40" t="s">
        <v>118</v>
      </c>
    </row>
    <row r="4" spans="1:34" ht="15.75" x14ac:dyDescent="0.3">
      <c r="A4" s="36"/>
      <c r="B4" s="36"/>
      <c r="C4" s="43"/>
      <c r="D4" s="43"/>
      <c r="E4" s="43"/>
      <c r="F4" s="43"/>
      <c r="G4" s="43"/>
      <c r="H4" s="43"/>
      <c r="I4" s="43"/>
      <c r="J4" s="43"/>
      <c r="K4" s="43"/>
      <c r="L4" s="43"/>
      <c r="M4" s="86"/>
      <c r="N4" s="95"/>
      <c r="O4" s="95"/>
      <c r="P4" s="95"/>
      <c r="Q4" s="95"/>
      <c r="R4" s="95"/>
      <c r="S4" s="95"/>
      <c r="T4" s="95"/>
      <c r="U4" s="95"/>
      <c r="V4" s="95"/>
      <c r="W4" s="43"/>
      <c r="X4" s="43"/>
      <c r="Y4" s="43"/>
      <c r="Z4" s="47" t="s">
        <v>46</v>
      </c>
      <c r="AA4" s="36">
        <f>COUNT('Precision '!D21:M21)</f>
        <v>0</v>
      </c>
      <c r="AB4" s="36">
        <f>COUNT('Precision '!N21:W21)</f>
        <v>0</v>
      </c>
      <c r="AC4" s="49" t="s">
        <v>101</v>
      </c>
      <c r="AD4" s="78" t="e">
        <f>SUM(C5:L5)-(SUM('Precision '!D10:M19))^2/COUNT('Precision '!D10:M19)</f>
        <v>#DIV/0!</v>
      </c>
      <c r="AE4" s="44" t="e">
        <f>SUM(M5:V5)-SUM('Precision '!N10:W19)^2/COUNT('Precision '!N10:W19)</f>
        <v>#DIV/0!</v>
      </c>
      <c r="AF4" s="49" t="s">
        <v>102</v>
      </c>
      <c r="AG4" s="92" t="str">
        <f>IF(COUNT(C3:L3)=0,"",AD4/AA6)</f>
        <v/>
      </c>
      <c r="AH4" s="51" t="str">
        <f>IF(COUNT(M3:V3)=0,"",AE4/AB6)</f>
        <v/>
      </c>
    </row>
    <row r="5" spans="1:34" ht="15.75" x14ac:dyDescent="0.3">
      <c r="A5" s="52"/>
      <c r="B5" s="52"/>
      <c r="C5" s="36" t="str">
        <f t="shared" ref="C5:M5" si="0">IF(C7=0,"",C7*C3^2)</f>
        <v/>
      </c>
      <c r="D5" s="36" t="str">
        <f t="shared" si="0"/>
        <v/>
      </c>
      <c r="E5" s="36" t="str">
        <f t="shared" si="0"/>
        <v/>
      </c>
      <c r="F5" s="36" t="str">
        <f t="shared" si="0"/>
        <v/>
      </c>
      <c r="G5" s="36" t="str">
        <f t="shared" si="0"/>
        <v/>
      </c>
      <c r="H5" s="36" t="str">
        <f t="shared" si="0"/>
        <v/>
      </c>
      <c r="I5" s="36" t="str">
        <f t="shared" si="0"/>
        <v/>
      </c>
      <c r="J5" s="36" t="str">
        <f t="shared" si="0"/>
        <v/>
      </c>
      <c r="K5" s="36" t="str">
        <f t="shared" si="0"/>
        <v/>
      </c>
      <c r="L5" s="36" t="str">
        <f t="shared" si="0"/>
        <v/>
      </c>
      <c r="M5" s="87" t="str">
        <f t="shared" si="0"/>
        <v/>
      </c>
      <c r="N5" s="52" t="str">
        <f t="shared" ref="N5:V5" si="1">IF(N7=0,"",N7*N3^2)</f>
        <v/>
      </c>
      <c r="O5" s="52" t="str">
        <f t="shared" si="1"/>
        <v/>
      </c>
      <c r="P5" s="52" t="str">
        <f t="shared" si="1"/>
        <v/>
      </c>
      <c r="Q5" s="52" t="str">
        <f t="shared" si="1"/>
        <v/>
      </c>
      <c r="R5" s="52" t="str">
        <f t="shared" si="1"/>
        <v/>
      </c>
      <c r="S5" s="52" t="str">
        <f t="shared" si="1"/>
        <v/>
      </c>
      <c r="T5" s="52" t="str">
        <f t="shared" si="1"/>
        <v/>
      </c>
      <c r="U5" s="52" t="str">
        <f t="shared" si="1"/>
        <v/>
      </c>
      <c r="V5" s="96" t="str">
        <f t="shared" si="1"/>
        <v/>
      </c>
      <c r="W5" s="43"/>
      <c r="X5" s="43"/>
      <c r="Y5" s="43"/>
      <c r="Z5" s="54" t="s">
        <v>47</v>
      </c>
      <c r="AA5" s="55" t="e">
        <f>(AA3-SUMSQ(C7:L7)/AA3)/(AA4-1)</f>
        <v>#DIV/0!</v>
      </c>
      <c r="AB5" s="55" t="e">
        <f>(AB3-SUMSQ(M7:V7)/AB3)/(AB4-1)</f>
        <v>#DIV/0!</v>
      </c>
      <c r="AC5" s="49" t="s">
        <v>103</v>
      </c>
      <c r="AD5" s="45" t="e">
        <f>AD6-AD4</f>
        <v>#DIV/0!</v>
      </c>
      <c r="AE5" s="93" t="e">
        <f>AE6-AE4</f>
        <v>#DIV/0!</v>
      </c>
      <c r="AF5" s="49" t="s">
        <v>104</v>
      </c>
      <c r="AG5" s="84" t="str">
        <f>IF(COUNT(C3:L3)=0,"",AD5/AA7)</f>
        <v/>
      </c>
      <c r="AH5" s="84" t="str">
        <f>IF(COUNT(M3:V3)=0,"",AE5/AB7)</f>
        <v/>
      </c>
    </row>
    <row r="6" spans="1:34" x14ac:dyDescent="0.2">
      <c r="A6" s="36"/>
      <c r="B6" s="36"/>
      <c r="C6" s="47"/>
      <c r="D6" s="50"/>
      <c r="E6" s="50"/>
      <c r="F6" s="50"/>
      <c r="G6" s="50"/>
      <c r="H6" s="50"/>
      <c r="I6" s="50"/>
      <c r="J6" s="50"/>
      <c r="K6" s="50"/>
      <c r="L6" s="50"/>
      <c r="M6" s="88"/>
      <c r="N6" s="50"/>
      <c r="O6" s="50"/>
      <c r="P6" s="50"/>
      <c r="Q6" s="36"/>
      <c r="R6" s="36"/>
      <c r="S6" s="36"/>
      <c r="T6" s="36"/>
      <c r="U6" s="36"/>
      <c r="V6" s="53"/>
      <c r="W6" s="43"/>
      <c r="Y6" s="43"/>
      <c r="Z6" s="47" t="s">
        <v>48</v>
      </c>
      <c r="AA6" s="56">
        <f>AA4-1</f>
        <v>-1</v>
      </c>
      <c r="AB6" s="56">
        <f>AB4-1</f>
        <v>-1</v>
      </c>
      <c r="AC6" s="45" t="s">
        <v>49</v>
      </c>
      <c r="AD6" s="45" t="e">
        <f>VAR('Precision '!D10:M19)*(COUNT('Precision '!D10:M19)-1)</f>
        <v>#DIV/0!</v>
      </c>
      <c r="AE6" s="45" t="e">
        <f>VAR('Precision '!N10:W19)*(COUNT('Precision '!N10:W19)-1)</f>
        <v>#DIV/0!</v>
      </c>
      <c r="AH6" s="44"/>
    </row>
    <row r="7" spans="1:34" x14ac:dyDescent="0.2">
      <c r="A7" s="36" t="s">
        <v>50</v>
      </c>
      <c r="B7" s="36"/>
      <c r="C7" s="57">
        <f>COUNT('Precision '!D10:D19)</f>
        <v>0</v>
      </c>
      <c r="D7" s="57">
        <f>COUNT('Precision '!E10:E19)</f>
        <v>0</v>
      </c>
      <c r="E7" s="57">
        <f>COUNT('Precision '!F10:F19)</f>
        <v>0</v>
      </c>
      <c r="F7" s="57">
        <f>COUNT('Precision '!G10:G19)</f>
        <v>0</v>
      </c>
      <c r="G7" s="57">
        <f>COUNT('Precision '!H10:H19)</f>
        <v>0</v>
      </c>
      <c r="H7" s="57">
        <f>COUNT('Precision '!I10:I19)</f>
        <v>0</v>
      </c>
      <c r="I7" s="57">
        <f>COUNT('Precision '!J10:J19)</f>
        <v>0</v>
      </c>
      <c r="J7" s="57">
        <f>COUNT('Precision '!K10:K19)</f>
        <v>0</v>
      </c>
      <c r="K7" s="57">
        <f>COUNT('Precision '!L10:L19)</f>
        <v>0</v>
      </c>
      <c r="L7" s="57">
        <f>COUNT('Precision '!M10:M19)</f>
        <v>0</v>
      </c>
      <c r="M7" s="89">
        <f>COUNT('Precision '!N10:N19)</f>
        <v>0</v>
      </c>
      <c r="N7" s="57">
        <f>COUNT('Precision '!O10:O19)</f>
        <v>0</v>
      </c>
      <c r="O7" s="57">
        <f>COUNT('Precision '!P10:P19)</f>
        <v>0</v>
      </c>
      <c r="P7" s="57">
        <f>COUNT('Precision '!Q10:Q19)</f>
        <v>0</v>
      </c>
      <c r="Q7" s="57">
        <f>COUNT('Precision '!R10:R19)</f>
        <v>0</v>
      </c>
      <c r="R7" s="57">
        <f>COUNT('Precision '!S10:S19)</f>
        <v>0</v>
      </c>
      <c r="S7" s="57">
        <f>COUNT('Precision '!T10:T19)</f>
        <v>0</v>
      </c>
      <c r="T7" s="57">
        <f>COUNT('Precision '!U10:U19)</f>
        <v>0</v>
      </c>
      <c r="U7" s="57">
        <f>COUNT('Precision '!V10:V19)</f>
        <v>0</v>
      </c>
      <c r="V7" s="57">
        <f>COUNT('Precision '!W10:W19)</f>
        <v>0</v>
      </c>
      <c r="W7" s="36"/>
      <c r="X7" s="36"/>
      <c r="Y7" s="43"/>
      <c r="Z7" s="47" t="s">
        <v>51</v>
      </c>
      <c r="AA7" s="58">
        <f>AA8-AA6</f>
        <v>0</v>
      </c>
      <c r="AB7" s="58">
        <f>AB8-AB6</f>
        <v>0</v>
      </c>
      <c r="AC7" s="50"/>
      <c r="AF7" s="7" t="e">
        <f>IF(ISBLANK('Precision '!AD8),SQRT(('Precision '!AD10*'Precision '!AD7/100)^2+'Precision '!Z11^2),SQRT('Precision '!AD8^2+'Precision '!Z11^2))</f>
        <v>#VALUE!</v>
      </c>
      <c r="AG7" s="7" t="e">
        <f>IF(ISBLANK('Precision '!AE8),SQRT(('Precision '!AE10*'Precision '!AE7/100)^2+'Precision '!AA11^2),SQRT('Precision '!AE8^2+'Precision '!AA11^2))</f>
        <v>#VALUE!</v>
      </c>
    </row>
    <row r="8" spans="1:34" x14ac:dyDescent="0.2">
      <c r="M8" s="90"/>
      <c r="V8" s="59"/>
      <c r="W8" s="36"/>
      <c r="Y8" s="43"/>
      <c r="Z8" s="36" t="s">
        <v>49</v>
      </c>
      <c r="AA8" s="60">
        <f>AA3-1</f>
        <v>-1</v>
      </c>
      <c r="AB8" s="60">
        <f>AB3-1</f>
        <v>-1</v>
      </c>
      <c r="AC8" s="50"/>
    </row>
    <row r="9" spans="1:34" x14ac:dyDescent="0.2">
      <c r="A9" s="79" t="s">
        <v>105</v>
      </c>
      <c r="B9" s="79"/>
      <c r="C9" s="45">
        <f>IF(COUNT('Precision '!D10:D19)&lt;2,0,SUM('Precision '!D10:D19))</f>
        <v>0</v>
      </c>
      <c r="D9" s="45">
        <f>IF(COUNT('Precision '!E10:E19)&lt;2,0,SUM('Precision '!E10:E19))</f>
        <v>0</v>
      </c>
      <c r="E9" s="45">
        <f>IF(COUNT('Precision '!F10:F19)&lt;2,0,SUM('Precision '!F10:F19))</f>
        <v>0</v>
      </c>
      <c r="F9" s="45">
        <f>IF(COUNT('Precision '!G10:G19)&lt;2,0,SUM('Precision '!G10:G19))</f>
        <v>0</v>
      </c>
      <c r="G9" s="45">
        <f>IF(COUNT('Precision '!H10:H19)&lt;2,0,SUM('Precision '!H10:H19))</f>
        <v>0</v>
      </c>
      <c r="H9" s="45">
        <f>IF(COUNT('Precision '!I10:I19)&lt;2,0,SUM('Precision '!I10:I19))</f>
        <v>0</v>
      </c>
      <c r="I9" s="45">
        <f>IF(COUNT('Precision '!J10:J19)&lt;2,0,SUM('Precision '!J10:J19))</f>
        <v>0</v>
      </c>
      <c r="J9" s="45">
        <f>IF(COUNT('Precision '!K10:K19)&lt;2,0,SUM('Precision '!K10:K19))</f>
        <v>0</v>
      </c>
      <c r="K9" s="45">
        <f>IF(COUNT('Precision '!L10:L19)&lt;2,0,SUM('Precision '!L10:L19))</f>
        <v>0</v>
      </c>
      <c r="L9" s="45">
        <f>IF(COUNT('Precision '!M10:M19)&lt;2,0,SUM('Precision '!M10:M19))</f>
        <v>0</v>
      </c>
      <c r="M9" s="90">
        <f>IF(COUNT('Precision '!N10:N19)&lt;2,0,SUM('Precision '!N10:N19))</f>
        <v>0</v>
      </c>
      <c r="N9" s="45">
        <f>IF(COUNT('Precision '!O10:O19)&lt;2,0,SUM('Precision '!O10:O19))</f>
        <v>0</v>
      </c>
      <c r="O9" s="45">
        <f>IF(COUNT('Precision '!P10:P19)&lt;2,0,SUM('Precision '!P10:P19))</f>
        <v>0</v>
      </c>
      <c r="P9" s="45">
        <f>IF(COUNT('Precision '!Q10:Q19)&lt;2,0,SUM('Precision '!Q10:Q19))</f>
        <v>0</v>
      </c>
      <c r="Q9" s="45">
        <f>IF(COUNT('Precision '!R10:R19)&lt;2,0,SUM('Precision '!R10:R19))</f>
        <v>0</v>
      </c>
      <c r="R9" s="45">
        <f>IF(COUNT('Precision '!S10:S19)&lt;2,0,SUM('Precision '!S10:S19))</f>
        <v>0</v>
      </c>
      <c r="S9" s="45">
        <f>IF(COUNT('Precision '!T10:T19)&lt;2,0,SUM('Precision '!T10:T19))</f>
        <v>0</v>
      </c>
      <c r="T9" s="45">
        <f>IF(COUNT('Precision '!U10:U19)&lt;2,0,SUM('Precision '!U10:U19))</f>
        <v>0</v>
      </c>
      <c r="U9" s="45">
        <f>IF(COUNT('Precision '!V10:V19)&lt;2,0,SUM('Precision '!V10:V19))</f>
        <v>0</v>
      </c>
      <c r="V9" s="45">
        <f>IF(COUNT('Precision '!W10:W19)&lt;2,0,SUM('Precision '!W10:W19))</f>
        <v>0</v>
      </c>
      <c r="W9" s="36"/>
      <c r="X9" s="61"/>
      <c r="Y9" s="61"/>
      <c r="Z9" s="36" t="s">
        <v>52</v>
      </c>
      <c r="AA9" s="36" t="e">
        <f>FDIST('Precision '!AC3,AA6,AA7)</f>
        <v>#VALUE!</v>
      </c>
      <c r="AB9" s="36" t="e">
        <f>FDIST('Precision '!AG3,AB6,AB7)</f>
        <v>#VALUE!</v>
      </c>
      <c r="AC9" s="36"/>
      <c r="AE9" s="50"/>
      <c r="AF9" s="49"/>
      <c r="AG9" s="45" t="e">
        <f>IF(AG5&gt;AG4,AG5,(AG4-AG5)/AA5+AG5)</f>
        <v>#VALUE!</v>
      </c>
      <c r="AH9" s="45" t="e">
        <f>IF(AH5&gt;AH4,AH5,(AH4-AH5)/AB5+AH5)</f>
        <v>#VALUE!</v>
      </c>
    </row>
    <row r="10" spans="1:34" ht="13.5" thickBot="1" x14ac:dyDescent="0.25">
      <c r="W10" s="62"/>
      <c r="Z10" s="36" t="s">
        <v>53</v>
      </c>
      <c r="AA10" s="36" t="e">
        <f>FINV(0.05,AA6,AA7)</f>
        <v>#NUM!</v>
      </c>
      <c r="AB10" s="36" t="e">
        <f>FINV(0.05,AB6,AB7)</f>
        <v>#NUM!</v>
      </c>
      <c r="AD10" s="44"/>
      <c r="AE10" s="50"/>
      <c r="AH10" s="91"/>
    </row>
    <row r="11" spans="1:34" ht="16.5" thickBot="1" x14ac:dyDescent="0.35">
      <c r="A11" s="64" t="s">
        <v>54</v>
      </c>
      <c r="B11" s="64"/>
      <c r="C11" s="40" t="s">
        <v>55</v>
      </c>
      <c r="D11" s="40" t="s">
        <v>56</v>
      </c>
      <c r="F11" s="40" t="s">
        <v>55</v>
      </c>
      <c r="G11" s="65"/>
      <c r="H11" s="40" t="s">
        <v>56</v>
      </c>
      <c r="I11" s="376"/>
      <c r="J11" s="376"/>
      <c r="M11" s="64" t="s">
        <v>57</v>
      </c>
      <c r="P11" s="45" t="s">
        <v>123</v>
      </c>
      <c r="U11" s="82"/>
      <c r="V11" s="83"/>
      <c r="W11" s="47"/>
      <c r="Z11" s="43"/>
      <c r="AA11" s="43"/>
      <c r="AB11" s="43"/>
      <c r="AD11" s="61" t="s">
        <v>102</v>
      </c>
      <c r="AE11" s="61" t="s">
        <v>102</v>
      </c>
      <c r="AG11" s="136"/>
    </row>
    <row r="12" spans="1:34" x14ac:dyDescent="0.2">
      <c r="A12" s="66" t="s">
        <v>58</v>
      </c>
      <c r="B12" s="66"/>
      <c r="C12" s="67">
        <f>'Precision '!Z29</f>
        <v>0</v>
      </c>
      <c r="D12" s="67">
        <f>'Precision '!AA29</f>
        <v>0</v>
      </c>
      <c r="G12" s="42"/>
      <c r="M12" s="45" t="s">
        <v>59</v>
      </c>
      <c r="O12" s="45" t="s">
        <v>60</v>
      </c>
      <c r="P12" s="45" t="s">
        <v>61</v>
      </c>
      <c r="Q12" s="45" t="s">
        <v>124</v>
      </c>
      <c r="R12" s="45" t="s">
        <v>62</v>
      </c>
      <c r="X12" s="68"/>
      <c r="Y12" s="36"/>
      <c r="Z12" s="36"/>
      <c r="AA12" s="36"/>
      <c r="AC12" s="49" t="s">
        <v>107</v>
      </c>
      <c r="AD12" s="99" t="e">
        <f>TEXT(AD4,"##,##")</f>
        <v>#DIV/0!</v>
      </c>
      <c r="AE12" s="44" t="e">
        <f>TEXT(AE4,"##,##")</f>
        <v>#DIV/0!</v>
      </c>
    </row>
    <row r="13" spans="1:34" x14ac:dyDescent="0.2">
      <c r="A13" s="66" t="s">
        <v>63</v>
      </c>
      <c r="B13" s="66"/>
      <c r="C13" s="45" t="str">
        <f>IF(ISBLANK('Precision '!Z27),'Precision '!Z28,'Precision '!Z27)</f>
        <v/>
      </c>
      <c r="D13" s="45" t="str">
        <f>IF(ISBLANK('Precision '!AA27),'Precision '!AA28,'Precision '!AA27)</f>
        <v/>
      </c>
      <c r="L13" s="172" t="str">
        <f>IF(ISNUMBER(M13),M13,"")</f>
        <v/>
      </c>
      <c r="M13" s="200" t="e">
        <f>IF(ISNUMBER('Precision '!$D$21),N13,NA())</f>
        <v>#N/A</v>
      </c>
      <c r="N13" s="45">
        <v>1</v>
      </c>
      <c r="O13" s="45" t="e">
        <f>IF(OR(ISBLANK('Precision '!$I$48),COUNT('Precision '!$D$21:$M$21)&lt;'P Calc'!$N13),NA(),'P Calc'!$N13)</f>
        <v>#N/A</v>
      </c>
      <c r="P13" s="45" t="e">
        <f>IF('Precision '!$I$48="N",NA(),IF(OR(ISBLANK('Precision '!$AD$7),COUNT('Precision '!$D$21:$M$21)&lt;'P Calc'!$N13),"",'Precision '!$AD$7))</f>
        <v>#N/A</v>
      </c>
      <c r="Q13" s="45" t="str">
        <f>IF(AND(ISNUMBER('Precision '!$AD$7),(OR(ISNUMBER('Precision '!$AD$8),ISNUMBER('Precision '!$AD$10)))),$P$13+2*$S$13,"")</f>
        <v/>
      </c>
      <c r="R13" s="45" t="str">
        <f>IF(AND(ISNUMBER('Precision '!$AD$7),(OR(ISNUMBER('Precision '!$AD$8),ISNUMBER('Precision '!$AD$10)))),P13-2*$S$13,"")</f>
        <v/>
      </c>
      <c r="S13" s="97" t="str">
        <f>IF(AND(ISBLANK('Precision '!AD8),ISBLANK('Precision '!AD10)),"",IF(AND(ISBLANK('Precision '!AD8),ISNUMBER('Precision '!AD10)),'Precision '!AD9,'Precision '!AD8))</f>
        <v/>
      </c>
      <c r="X13" s="68"/>
      <c r="Y13" s="36"/>
      <c r="AD13" s="94"/>
    </row>
    <row r="14" spans="1:34" x14ac:dyDescent="0.2">
      <c r="A14" s="66" t="s">
        <v>34</v>
      </c>
      <c r="B14" s="66"/>
      <c r="C14" s="45">
        <f>'Precision '!Z30/100</f>
        <v>0.05</v>
      </c>
      <c r="D14" s="45">
        <f>'Precision '!AA30/100</f>
        <v>0.05</v>
      </c>
      <c r="L14" s="173" t="str">
        <f t="shared" ref="L14:L32" si="2">IF(ISNUMBER(M14),M14,"")</f>
        <v/>
      </c>
      <c r="M14" s="137" t="e">
        <f>IF(ISNUMBER('Precision '!$E$21),N14,NA())</f>
        <v>#N/A</v>
      </c>
      <c r="N14" s="45">
        <v>2</v>
      </c>
      <c r="O14" s="45" t="e">
        <f>IF(OR(ISBLANK('Precision '!$I$48),COUNT('Precision '!$D$21:$M$21)&lt;'P Calc'!$N14),NA(),'P Calc'!$N14)</f>
        <v>#N/A</v>
      </c>
      <c r="P14" s="45" t="e">
        <f>IF('Precision '!$I$48="N",NA(),IF(OR(ISBLANK('Precision '!$AD$7),COUNT('Precision '!$D$21:$M$21)&lt;'P Calc'!$N14),"",'Precision '!$AD$7))</f>
        <v>#N/A</v>
      </c>
      <c r="Q14" s="45" t="str">
        <f>IF(AND(ISNUMBER('Precision '!$AD$7),(OR(ISNUMBER('Precision '!$AD$8),ISNUMBER('Precision '!$AD$10)))),$P$13+2*$S$13,"")</f>
        <v/>
      </c>
      <c r="R14" s="45" t="str">
        <f>IF(AND(ISNUMBER('Precision '!$AD$7),(OR(ISNUMBER('Precision '!$AD$8),ISNUMBER('Precision '!$AD$10)))),P14-2*$S$13,"")</f>
        <v/>
      </c>
      <c r="S14" s="45" t="str">
        <f>IF(AND(ISBLANK('Precision '!AE8),ISBLANK('Precision '!AE10)),"",IF(AND(ISBLANK('Precision '!AE8),ISNUMBER('Precision '!AE10)),'Precision '!AE9,'Precision '!AE8))</f>
        <v/>
      </c>
      <c r="X14" s="68"/>
      <c r="Y14" s="42"/>
      <c r="AC14" s="69"/>
      <c r="AD14" s="69"/>
      <c r="AE14" s="69"/>
      <c r="AF14" s="69"/>
    </row>
    <row r="15" spans="1:34" x14ac:dyDescent="0.2">
      <c r="A15" s="70" t="s">
        <v>35</v>
      </c>
      <c r="B15" s="70"/>
      <c r="C15" s="45" t="str">
        <f>IF(OR(AND(ISBLANK('Precision '!Z27),ISBLANK('Precision '!Z29)),ISBLANK('Precision '!D7)),"",C13*SQRT(F17/'Precision '!Z8))</f>
        <v/>
      </c>
      <c r="D15" s="45" t="str">
        <f>IF(OR(AND(ISBLANK('Precision '!AA27),ISBLANK('Precision '!AA29)),ISBLANK('Precision '!N7)),"",D13*SQRT(H17/'Precision '!AA8))</f>
        <v/>
      </c>
      <c r="L15" s="173" t="str">
        <f t="shared" si="2"/>
        <v/>
      </c>
      <c r="M15" s="137" t="e">
        <f>IF(ISNUMBER('Precision '!$F$21),N15,NA())</f>
        <v>#N/A</v>
      </c>
      <c r="N15" s="45">
        <v>3</v>
      </c>
      <c r="O15" s="45" t="e">
        <f>IF(OR(ISBLANK('Precision '!$I$48),COUNT('Precision '!$D$21:$M$21)&lt;'P Calc'!$N15),NA(),'P Calc'!$N15)</f>
        <v>#N/A</v>
      </c>
      <c r="P15" s="45" t="e">
        <f>IF('Precision '!$I$48="N",NA(),IF(OR(ISBLANK('Precision '!$AD$7),COUNT('Precision '!$D$21:$M$21)&lt;'P Calc'!$N15),"",'Precision '!$AD$7))</f>
        <v>#N/A</v>
      </c>
      <c r="Q15" s="45" t="str">
        <f>IF(AND(ISNUMBER('Precision '!$AD$7),(OR(ISNUMBER('Precision '!$AD$8),ISNUMBER('Precision '!$AD$10)))),$P$13+2*$S$13,"")</f>
        <v/>
      </c>
      <c r="R15" s="45" t="str">
        <f>IF(AND(ISNUMBER('Precision '!$AD$7),(OR(ISNUMBER('Precision '!$AD$8),ISNUMBER('Precision '!$AD$10)))),P15-2*$S$13,"")</f>
        <v/>
      </c>
      <c r="AC15" s="68"/>
      <c r="AD15" s="67"/>
      <c r="AH15" s="69"/>
    </row>
    <row r="16" spans="1:34" x14ac:dyDescent="0.2">
      <c r="A16" s="71" t="s">
        <v>64</v>
      </c>
      <c r="B16" s="71"/>
      <c r="C16" s="45">
        <v>2</v>
      </c>
      <c r="D16" s="45">
        <v>2</v>
      </c>
      <c r="L16" s="173" t="str">
        <f t="shared" si="2"/>
        <v/>
      </c>
      <c r="M16" s="137" t="e">
        <f>IF(ISNUMBER('Precision '!$G$21),N16,NA())</f>
        <v>#N/A</v>
      </c>
      <c r="N16" s="45">
        <v>4</v>
      </c>
      <c r="O16" s="45" t="e">
        <f>IF(OR(ISBLANK('Precision '!$I$48),COUNT('Precision '!$D$21:$M$21)&lt;'P Calc'!$N16),NA(),'P Calc'!$N16)</f>
        <v>#N/A</v>
      </c>
      <c r="P16" s="45" t="e">
        <f>IF('Precision '!$I$48="N",NA(),IF(OR(ISBLANK('Precision '!$AD$7),COUNT('Precision '!$D$21:$M$21)&lt;'P Calc'!$N16),"",'Precision '!$AD$7))</f>
        <v>#N/A</v>
      </c>
      <c r="Q16" s="45" t="str">
        <f>IF(AND(ISNUMBER('Precision '!$AD$7),(OR(ISNUMBER('Precision '!$AD$8),ISNUMBER('Precision '!$AD$10)))),$P$13+2*$S$13,"")</f>
        <v/>
      </c>
      <c r="R16" s="45" t="str">
        <f>IF(AND(ISNUMBER('Precision '!$AD$7),(OR(ISNUMBER('Precision '!$AD$8),ISNUMBER('Precision '!$AD$10)))),P16-2*$S$13,"")</f>
        <v/>
      </c>
      <c r="X16" s="45" t="s">
        <v>65</v>
      </c>
      <c r="Y16" s="45" t="s">
        <v>66</v>
      </c>
      <c r="Z16" s="45" t="s">
        <v>125</v>
      </c>
      <c r="AA16" s="45" t="s">
        <v>67</v>
      </c>
      <c r="AC16" s="68"/>
      <c r="AF16" s="72">
        <f>('Precision '!AD10*'Precision '!AD7/100)^2</f>
        <v>0</v>
      </c>
      <c r="AH16" s="69"/>
    </row>
    <row r="17" spans="1:36" ht="14.25" customHeight="1" x14ac:dyDescent="0.2">
      <c r="A17" s="70" t="s">
        <v>68</v>
      </c>
      <c r="B17" s="70"/>
      <c r="C17" s="45">
        <f>IF(ISBLANK(C16),"",1-C14/(C16))</f>
        <v>0.97499999999999998</v>
      </c>
      <c r="D17" s="45">
        <f>IF(ISBLANK(D16),"",1-D14/(D16))</f>
        <v>0.97499999999999998</v>
      </c>
      <c r="E17" s="49" t="s">
        <v>68</v>
      </c>
      <c r="F17" s="45" t="e">
        <f>CHIINV(1-C17,'Precision '!Z8)</f>
        <v>#VALUE!</v>
      </c>
      <c r="G17" s="49" t="s">
        <v>68</v>
      </c>
      <c r="H17" s="45" t="e">
        <f>CHIINV(1-D17,'Precision '!AA8)</f>
        <v>#VALUE!</v>
      </c>
      <c r="L17" s="173" t="str">
        <f t="shared" si="2"/>
        <v/>
      </c>
      <c r="M17" s="137" t="e">
        <f>IF(ISNUMBER('Precision '!$H$21),N17,NA())</f>
        <v>#N/A</v>
      </c>
      <c r="N17" s="45">
        <v>5</v>
      </c>
      <c r="O17" s="45" t="e">
        <f>IF(OR(ISBLANK('Precision '!$I$48),COUNT('Precision '!$D$21:$M$21)&lt;'P Calc'!$N17),NA(),'P Calc'!$N17)</f>
        <v>#N/A</v>
      </c>
      <c r="P17" s="45" t="e">
        <f>IF('Precision '!$I$48="N",NA(),IF(OR(ISBLANK('Precision '!$AD$7),COUNT('Precision '!$D$21:$M$21)&lt;'P Calc'!$N17),"",'Precision '!$AD$7))</f>
        <v>#N/A</v>
      </c>
      <c r="Q17" s="45" t="str">
        <f>IF(AND(ISNUMBER('Precision '!$AD$7),(OR(ISNUMBER('Precision '!$AD$8),ISNUMBER('Precision '!$AD$10)))),$P$13+2*$S$13,"")</f>
        <v/>
      </c>
      <c r="R17" s="45" t="str">
        <f>IF(AND(ISNUMBER('Precision '!$AD$7),(OR(ISNUMBER('Precision '!$AD$8),ISNUMBER('Precision '!$AD$10)))),P17-2*$S$13,"")</f>
        <v/>
      </c>
      <c r="W17" s="372" t="s">
        <v>79</v>
      </c>
      <c r="X17" s="45" t="e">
        <f>IF(OR(ISBLANK('Precision '!$I$46),COUNT('Precision '!$D$21:$M$21)&lt;'P Calc'!$N13),NA(),'P Calc'!$N13)</f>
        <v>#N/A</v>
      </c>
      <c r="Y17" s="45" t="e">
        <f>IF('Precision '!$I$46="N",NA(),IF(OR(ISBLANK('Precision '!$Z$10),'Precision '!$Z$7+1&lt;'P Calc'!$N13),"",'Precision '!$Z$10))</f>
        <v>#VALUE!</v>
      </c>
      <c r="Z17" s="45" t="e">
        <f>Y17+2*'Precision '!Z$19</f>
        <v>#VALUE!</v>
      </c>
      <c r="AA17" s="45" t="e">
        <f>Y17-2*'Precision '!$Z$19</f>
        <v>#VALUE!</v>
      </c>
      <c r="AC17" s="49"/>
      <c r="AF17" s="94" t="e">
        <f>'Precision '!Z11^2</f>
        <v>#VALUE!</v>
      </c>
      <c r="AH17" s="69"/>
    </row>
    <row r="18" spans="1:36" x14ac:dyDescent="0.2">
      <c r="A18" s="70" t="s">
        <v>69</v>
      </c>
      <c r="B18" s="70"/>
      <c r="C18" s="45" t="str">
        <f>IF('Precision '!Z17&lt;C15,E19,E18)</f>
        <v>Review !!</v>
      </c>
      <c r="D18" s="73" t="str">
        <f>IF('Precision '!AA17&lt;D15,E19,E18)</f>
        <v>Review !!</v>
      </c>
      <c r="E18" s="74" t="s">
        <v>70</v>
      </c>
      <c r="L18" s="173" t="str">
        <f t="shared" si="2"/>
        <v/>
      </c>
      <c r="M18" s="137" t="e">
        <f>IF(ISNUMBER('Precision '!$I$21),N18,NA())</f>
        <v>#N/A</v>
      </c>
      <c r="N18" s="45">
        <v>6</v>
      </c>
      <c r="O18" s="45" t="e">
        <f>IF(OR(ISBLANK('Precision '!$I$48),COUNT('Precision '!$D$21:$M$21)&lt;'P Calc'!$N18),NA(),'P Calc'!$N18)</f>
        <v>#N/A</v>
      </c>
      <c r="P18" s="45" t="e">
        <f>IF('Precision '!$I$48="N",NA(),IF(OR(ISBLANK('Precision '!$AD$7),COUNT('Precision '!$D$21:$M$21)&lt;'P Calc'!$N18),"",'Precision '!$AD$7))</f>
        <v>#N/A</v>
      </c>
      <c r="Q18" s="45" t="str">
        <f>IF(AND(ISNUMBER('Precision '!$AD$7),(OR(ISNUMBER('Precision '!$AD$8),ISNUMBER('Precision '!$AD$10)))),$P$13+2*$S$13,"")</f>
        <v/>
      </c>
      <c r="R18" s="45" t="str">
        <f>IF(AND(ISNUMBER('Precision '!$AD$7),(OR(ISNUMBER('Precision '!$AD$8),ISNUMBER('Precision '!$AD$10)))),P18-2*$S$13,"")</f>
        <v/>
      </c>
      <c r="W18" s="372"/>
      <c r="X18" s="45" t="e">
        <f>IF(OR(ISBLANK('Precision '!$I$46),COUNT('Precision '!$D$21:$M$21)&lt;'P Calc'!$N14),NA(),'P Calc'!$N14)</f>
        <v>#N/A</v>
      </c>
      <c r="Y18" s="45" t="e">
        <f>IF('Precision '!$I$46="N",NA(),IF(OR(ISBLANK('Precision '!$Z$10),'Precision '!$Z$7+1&lt;'P Calc'!$N14),"",'Precision '!$Z$10))</f>
        <v>#VALUE!</v>
      </c>
      <c r="Z18" s="45" t="e">
        <f>Y18+2*'Precision '!Z$19</f>
        <v>#VALUE!</v>
      </c>
      <c r="AA18" s="45" t="e">
        <f>Y18-2*'Precision '!$Z$19</f>
        <v>#VALUE!</v>
      </c>
      <c r="AC18" s="49"/>
      <c r="AD18" s="98"/>
      <c r="AE18" s="4"/>
      <c r="AF18" s="199" t="e">
        <f>AF16+AF17</f>
        <v>#VALUE!</v>
      </c>
      <c r="AH18" s="69"/>
      <c r="AJ18" s="68"/>
    </row>
    <row r="19" spans="1:36" x14ac:dyDescent="0.2">
      <c r="A19" s="70"/>
      <c r="B19" s="70"/>
      <c r="E19" s="75" t="s">
        <v>71</v>
      </c>
      <c r="L19" s="173" t="str">
        <f t="shared" si="2"/>
        <v/>
      </c>
      <c r="M19" s="137" t="e">
        <f>IF(ISNUMBER('Precision '!$J$21),N19,NA())</f>
        <v>#N/A</v>
      </c>
      <c r="N19" s="45">
        <v>7</v>
      </c>
      <c r="O19" s="45" t="e">
        <f>IF(OR(ISBLANK('Precision '!$I$48),COUNT('Precision '!$D$21:$M$21)&lt;'P Calc'!$N19),NA(),'P Calc'!$N19)</f>
        <v>#N/A</v>
      </c>
      <c r="P19" s="45" t="e">
        <f>IF('Precision '!$I$48="N",NA(),IF(OR(ISBLANK('Precision '!$AD$7),COUNT('Precision '!$D$21:$M$21)&lt;'P Calc'!$N19),"",'Precision '!$AD$7))</f>
        <v>#N/A</v>
      </c>
      <c r="Q19" s="45" t="str">
        <f>IF(AND(ISNUMBER('Precision '!$AD$7),(OR(ISNUMBER('Precision '!$AD$8),ISNUMBER('Precision '!$AD$10)))),$P$13+2*$S$13,"")</f>
        <v/>
      </c>
      <c r="R19" s="45" t="str">
        <f>IF(AND(ISNUMBER('Precision '!$AD$7),(OR(ISNUMBER('Precision '!$AD$8),ISNUMBER('Precision '!$AD$10)))),P19-2*$S$13,"")</f>
        <v/>
      </c>
      <c r="W19" s="372"/>
      <c r="X19" s="45" t="e">
        <f>IF(OR(ISBLANK('Precision '!$I$46),COUNT('Precision '!$D$21:$M$21)&lt;'P Calc'!$N15),NA(),'P Calc'!$N15)</f>
        <v>#N/A</v>
      </c>
      <c r="Y19" s="45" t="e">
        <f>IF('Precision '!$I$46="N",NA(),IF(OR(ISBLANK('Precision '!$Z$10),'Precision '!$Z$7+1&lt;'P Calc'!$N15),"",'Precision '!$Z$10))</f>
        <v>#VALUE!</v>
      </c>
      <c r="Z19" s="45" t="e">
        <f>Y19+2*'Precision '!Z$19</f>
        <v>#VALUE!</v>
      </c>
      <c r="AA19" s="45" t="e">
        <f>Y19-2*'Precision '!$Z$19</f>
        <v>#VALUE!</v>
      </c>
      <c r="AC19" s="76"/>
      <c r="AD19" s="4"/>
      <c r="AE19" s="4"/>
      <c r="AF19" s="4" t="e">
        <f>SQRT(AF18)</f>
        <v>#VALUE!</v>
      </c>
      <c r="AG19" s="68"/>
      <c r="AH19" s="68"/>
      <c r="AI19" s="68"/>
      <c r="AJ19" s="68"/>
    </row>
    <row r="20" spans="1:36" x14ac:dyDescent="0.2">
      <c r="A20" s="70" t="s">
        <v>72</v>
      </c>
      <c r="B20" s="70"/>
      <c r="C20" s="45" t="e">
        <f>'Precision '!Z16-(AA5-1)*'Precision '!Z14/AA5</f>
        <v>#VALUE!</v>
      </c>
      <c r="D20" s="45" t="e">
        <f>'Precision '!AA16-(AB5-1)*'Precision '!AA14/AB5</f>
        <v>#VALUE!</v>
      </c>
      <c r="L20" s="173" t="str">
        <f t="shared" si="2"/>
        <v/>
      </c>
      <c r="M20" s="137" t="e">
        <f>IF(ISNUMBER('Precision '!$K$21),N20,NA())</f>
        <v>#N/A</v>
      </c>
      <c r="N20" s="45">
        <v>8</v>
      </c>
      <c r="O20" s="45" t="e">
        <f>IF(OR(ISBLANK('Precision '!$I$48),COUNT('Precision '!$D$21:$M$21)&lt;'P Calc'!$N20),NA(),'P Calc'!$N20)</f>
        <v>#N/A</v>
      </c>
      <c r="P20" s="45" t="e">
        <f>IF('Precision '!$I$48="N",NA(),IF(OR(ISBLANK('Precision '!$AD$7),COUNT('Precision '!$D$21:$M$21)&lt;'P Calc'!$N20),"",'Precision '!$AD$7))</f>
        <v>#N/A</v>
      </c>
      <c r="Q20" s="45" t="str">
        <f>IF(AND(ISNUMBER('Precision '!$AD$7),(OR(ISNUMBER('Precision '!$AD$8),ISNUMBER('Precision '!$AD$10)))),$P$13+2*$S$13,"")</f>
        <v/>
      </c>
      <c r="R20" s="45" t="str">
        <f>IF(AND(ISNUMBER('Precision '!$AD$7),(OR(ISNUMBER('Precision '!$AD$8),ISNUMBER('Precision '!$AD$10)))),P20-2*$S$13,"")</f>
        <v/>
      </c>
      <c r="W20" s="372"/>
      <c r="X20" s="45" t="e">
        <f>IF(OR(ISBLANK('Precision '!$I$46),COUNT('Precision '!$D$21:$M$21)&lt;'P Calc'!$N16),NA(),'P Calc'!$N16)</f>
        <v>#N/A</v>
      </c>
      <c r="Y20" s="45" t="e">
        <f>IF('Precision '!$I$46="N",NA(),IF(OR(ISBLANK('Precision '!$Z$10),'Precision '!$Z$7+1&lt;'P Calc'!$N16),"",'Precision '!$Z$10))</f>
        <v>#VALUE!</v>
      </c>
      <c r="Z20" s="45" t="e">
        <f>Y20+2*'Precision '!Z$19</f>
        <v>#VALUE!</v>
      </c>
      <c r="AA20" s="45" t="e">
        <f>Y20-2*'Precision '!$Z$19</f>
        <v>#VALUE!</v>
      </c>
      <c r="AC20" s="68"/>
      <c r="AD20" s="4"/>
      <c r="AE20" s="4"/>
      <c r="AF20" s="4"/>
      <c r="AG20" s="68"/>
      <c r="AH20" s="68"/>
      <c r="AI20" s="68"/>
    </row>
    <row r="21" spans="1:36" x14ac:dyDescent="0.2">
      <c r="A21" s="70" t="s">
        <v>147</v>
      </c>
      <c r="B21" s="70"/>
      <c r="C21" s="45" t="e">
        <f>((AA5-1)*'Precision '!Z14+AA5*C20)^2</f>
        <v>#DIV/0!</v>
      </c>
      <c r="D21" s="45" t="e">
        <f>((AB5-1)*'Precision '!AA14+AB5*D20)^2</f>
        <v>#DIV/0!</v>
      </c>
      <c r="F21" s="63"/>
      <c r="H21" s="63"/>
      <c r="I21" s="63"/>
      <c r="J21" s="63"/>
      <c r="K21" s="63"/>
      <c r="L21" s="173" t="str">
        <f t="shared" si="2"/>
        <v/>
      </c>
      <c r="M21" s="137" t="e">
        <f>IF(ISNUMBER('Precision '!$L$21),N21,NA())</f>
        <v>#N/A</v>
      </c>
      <c r="N21" s="45">
        <v>9</v>
      </c>
      <c r="O21" s="45" t="e">
        <f>IF(OR(ISBLANK('Precision '!$I$48),COUNT('Precision '!$D$21:$M$21)&lt;'P Calc'!$N21),NA(),'P Calc'!$N21)</f>
        <v>#N/A</v>
      </c>
      <c r="P21" s="45" t="e">
        <f>IF('Precision '!$I$48="N",NA(),IF(OR(ISBLANK('Precision '!$AD$7),COUNT('Precision '!$D$21:$M$21)&lt;'P Calc'!$N21),"",'Precision '!$AD$7))</f>
        <v>#N/A</v>
      </c>
      <c r="Q21" s="45" t="str">
        <f>IF(AND(ISNUMBER('Precision '!$AD$7),(OR(ISNUMBER('Precision '!$AD$8),ISNUMBER('Precision '!$AD$10)))),$P$13+2*$S$13,"")</f>
        <v/>
      </c>
      <c r="R21" s="45" t="str">
        <f>IF(AND(ISNUMBER('Precision '!$AD$7),(OR(ISNUMBER('Precision '!$AD$8),ISNUMBER('Precision '!$AD$10)))),P21-2*$S$13,"")</f>
        <v/>
      </c>
      <c r="W21" s="372"/>
      <c r="X21" s="45" t="e">
        <f>IF(OR(ISBLANK('Precision '!$I$46),COUNT('Precision '!$D$21:$M$21)&lt;'P Calc'!$N17),NA(),'P Calc'!$N17)</f>
        <v>#N/A</v>
      </c>
      <c r="Y21" s="45" t="e">
        <f>IF('Precision '!$I$46="N",NA(),IF(OR(ISBLANK('Precision '!$Z$10),'Precision '!$Z$7+1&lt;'P Calc'!$N17),"",'Precision '!$Z$10))</f>
        <v>#VALUE!</v>
      </c>
      <c r="Z21" s="45" t="e">
        <f>Y21+2*'Precision '!Z$19</f>
        <v>#VALUE!</v>
      </c>
      <c r="AA21" s="45" t="e">
        <f>Y21-2*'Precision '!$Z$19</f>
        <v>#VALUE!</v>
      </c>
      <c r="AD21" s="4"/>
      <c r="AE21" s="4"/>
      <c r="AF21" s="4"/>
      <c r="AG21" s="69"/>
    </row>
    <row r="22" spans="1:36" x14ac:dyDescent="0.2">
      <c r="A22" s="70" t="s">
        <v>73</v>
      </c>
      <c r="B22" s="70"/>
      <c r="C22" s="45" t="e">
        <f>(AA5-1)*'Precision '!Z14^2/C25+AA5^2*C20^2/(C25-1)</f>
        <v>#DIV/0!</v>
      </c>
      <c r="D22" s="45" t="e">
        <f>(AB5-1)*'Precision '!AA14^2/D25+AB5^2*D20^2/(D25-1)</f>
        <v>#DIV/0!</v>
      </c>
      <c r="L22" s="173" t="str">
        <f t="shared" si="2"/>
        <v/>
      </c>
      <c r="M22" s="137" t="e">
        <f>IF(ISNUMBER('Precision '!$M$21),N22,NA())</f>
        <v>#N/A</v>
      </c>
      <c r="N22" s="45">
        <v>10</v>
      </c>
      <c r="O22" s="45" t="e">
        <f>IF(OR(ISBLANK('Precision '!$I$48),COUNT('Precision '!$D$21:$M$21)&lt;'P Calc'!$N22),NA(),'P Calc'!$N22)</f>
        <v>#N/A</v>
      </c>
      <c r="P22" s="45" t="e">
        <f>IF('Precision '!$I$48="N",NA(),IF(OR(ISBLANK('Precision '!$AD$7),COUNT('Precision '!$D$21:$M$21)&lt;'P Calc'!$N22),"",'Precision '!$AD$7))</f>
        <v>#N/A</v>
      </c>
      <c r="Q22" s="45" t="str">
        <f>IF(AND(ISNUMBER('Precision '!$AD$7),(OR(ISNUMBER('Precision '!$AD$8),ISNUMBER('Precision '!$AD$10)))),$P$13+2*$S$13,"")</f>
        <v/>
      </c>
      <c r="R22" s="45" t="str">
        <f>IF(AND(ISNUMBER('Precision '!$AD$7),(OR(ISNUMBER('Precision '!$AD$8),ISNUMBER('Precision '!$AD$10)))),P22-2*$S$13,"")</f>
        <v/>
      </c>
      <c r="W22" s="372"/>
      <c r="X22" s="45" t="e">
        <f>IF(OR(ISBLANK('Precision '!$I$46),COUNT('Precision '!$D$21:$M$21)&lt;'P Calc'!$N18),NA(),'P Calc'!$N18)</f>
        <v>#N/A</v>
      </c>
      <c r="Y22" s="45" t="e">
        <f>IF('Precision '!$I$46="N",NA(),IF(OR(ISBLANK('Precision '!$Z$10),'Precision '!$Z$7+1&lt;'P Calc'!$N18),"",'Precision '!$Z$10))</f>
        <v>#VALUE!</v>
      </c>
      <c r="Z22" s="45" t="e">
        <f>Y22+2*'Precision '!Z$19</f>
        <v>#VALUE!</v>
      </c>
      <c r="AA22" s="45" t="e">
        <f>Y22-2*'Precision '!$Z$19</f>
        <v>#VALUE!</v>
      </c>
      <c r="AC22" s="68"/>
      <c r="AD22" s="4"/>
      <c r="AE22" s="69"/>
      <c r="AF22" s="69"/>
    </row>
    <row r="23" spans="1:36" x14ac:dyDescent="0.2">
      <c r="A23" s="70" t="s">
        <v>74</v>
      </c>
      <c r="B23" s="70"/>
      <c r="C23" s="45" t="e">
        <f>C21/C22</f>
        <v>#DIV/0!</v>
      </c>
      <c r="D23" s="45" t="e">
        <f>D21/D22</f>
        <v>#DIV/0!</v>
      </c>
      <c r="E23" s="45" t="e">
        <f>ROUND(C23,0)</f>
        <v>#DIV/0!</v>
      </c>
      <c r="G23" s="45" t="e">
        <f>ROUND(D23,0)</f>
        <v>#DIV/0!</v>
      </c>
      <c r="I23" s="45" t="s">
        <v>146</v>
      </c>
      <c r="L23" s="173" t="str">
        <f t="shared" si="2"/>
        <v/>
      </c>
      <c r="M23" s="137" t="e">
        <f>IF(ISNUMBER('Precision '!$N$21),N23,NA())</f>
        <v>#N/A</v>
      </c>
      <c r="N23" s="45">
        <v>1</v>
      </c>
      <c r="O23" s="45" t="e">
        <f>IF(OR(ISBLANK('Precision '!$T$48),COUNT('Precision '!$N$21:$W$21)&lt;'P Calc'!$N23),NA(),'P Calc'!$N23)</f>
        <v>#N/A</v>
      </c>
      <c r="P23" s="45" t="e">
        <f>IF('Precision '!$T$48="N",NA(),IF(OR(ISBLANK('Precision '!$AE$7),COUNT('Precision '!$N$25:$W$25)&lt;'P Calc'!$N23),"",'Precision '!$AE$7))</f>
        <v>#N/A</v>
      </c>
      <c r="Q23" s="45" t="str">
        <f>IF(AND(ISNUMBER('Precision '!$AE$7),(OR(ISNUMBER('Precision '!$AE$8),ISNUMBER('Precision '!$AE$10)))),$P$23+2*$S$14,"")</f>
        <v/>
      </c>
      <c r="R23" s="45" t="str">
        <f>IF(AND(ISNUMBER('Precision '!$AE$7),(OR(ISNUMBER('Precision '!$AE$8),ISNUMBER('Precision '!$AE$10)))),$P$23-2*$S$14,"")</f>
        <v/>
      </c>
      <c r="W23" s="372"/>
      <c r="X23" s="45" t="e">
        <f>IF(OR(ISBLANK('Precision '!$I$46),COUNT('Precision '!$D$21:$M$21)&lt;'P Calc'!$N19),NA(),'P Calc'!$N19)</f>
        <v>#N/A</v>
      </c>
      <c r="Y23" s="45" t="e">
        <f>IF('Precision '!$I$46="N",NA(),IF(OR(ISBLANK('Precision '!$Z$10),'Precision '!$Z$7+1&lt;'P Calc'!$N19),"",'Precision '!$Z$10))</f>
        <v>#VALUE!</v>
      </c>
      <c r="Z23" s="42" t="e">
        <f>Y23+2*'Precision '!Z$19</f>
        <v>#VALUE!</v>
      </c>
      <c r="AA23" s="42" t="e">
        <f>Y23-2*'Precision '!$Z$19</f>
        <v>#VALUE!</v>
      </c>
      <c r="AC23" s="68"/>
      <c r="AD23" s="4"/>
      <c r="AE23" s="69"/>
      <c r="AF23" s="69"/>
    </row>
    <row r="24" spans="1:36" ht="12.75" customHeight="1" x14ac:dyDescent="0.2">
      <c r="A24" s="70" t="s">
        <v>75</v>
      </c>
      <c r="B24" s="70"/>
      <c r="C24" s="67" t="e">
        <f>AA5</f>
        <v>#DIV/0!</v>
      </c>
      <c r="D24" s="67" t="e">
        <f>AB5</f>
        <v>#DIV/0!</v>
      </c>
      <c r="I24" s="67" t="str">
        <f>IF('Precision '!I48="Y",'Precision '!AD7,"")</f>
        <v/>
      </c>
      <c r="J24" s="67" t="str">
        <f>IF('Precision '!T48="Y",'Precision '!AE7,"")</f>
        <v/>
      </c>
      <c r="L24" s="173" t="str">
        <f t="shared" si="2"/>
        <v/>
      </c>
      <c r="M24" s="137" t="e">
        <f>IF(ISNUMBER('Precision '!$O$21),N24,NA())</f>
        <v>#N/A</v>
      </c>
      <c r="N24" s="45">
        <v>2</v>
      </c>
      <c r="O24" s="45" t="e">
        <f>IF(OR(ISBLANK('Precision '!$T$48),COUNT('Precision '!$N$21:$W$21)&lt;'P Calc'!$N24),NA(),'P Calc'!$N24)</f>
        <v>#N/A</v>
      </c>
      <c r="P24" s="45" t="e">
        <f>IF('Precision '!$T$48="N",NA(),IF(OR(ISBLANK('Precision '!$AE$7),COUNT('Precision '!$N$25:$W$25)&lt;'P Calc'!$N24),"",'Precision '!$AE$7))</f>
        <v>#N/A</v>
      </c>
      <c r="Q24" s="45" t="str">
        <f>IF(AND(ISNUMBER('Precision '!$AE$7),(OR(ISNUMBER('Precision '!$AE$8),ISNUMBER('Precision '!$AE$10)))),$P$23+2*$S$14,"")</f>
        <v/>
      </c>
      <c r="R24" s="45" t="str">
        <f>IF(AND(ISNUMBER('Precision '!$AE$7),(OR(ISNUMBER('Precision '!$AE$8),ISNUMBER('Precision '!$AE$10)))),$P$23-2*$S$14,"")</f>
        <v/>
      </c>
      <c r="W24" s="372"/>
      <c r="X24" s="45" t="e">
        <f>IF(OR(ISBLANK('Precision '!$I$46),COUNT('Precision '!$D$21:$M$21)&lt;'P Calc'!$N20),NA(),'P Calc'!$N20)</f>
        <v>#N/A</v>
      </c>
      <c r="Y24" s="45" t="e">
        <f>IF('Precision '!$I$46="N",NA(),IF(OR(ISBLANK('Precision '!$Z$10),'Precision '!$Z$7+1&lt;'P Calc'!$N20),"",'Precision '!$Z$10))</f>
        <v>#VALUE!</v>
      </c>
      <c r="Z24" s="42" t="e">
        <f>Y24+2*'Precision '!Z$19</f>
        <v>#VALUE!</v>
      </c>
      <c r="AA24" s="42" t="e">
        <f>Y24-2*'Precision '!$Z$19</f>
        <v>#VALUE!</v>
      </c>
      <c r="AC24" s="68"/>
      <c r="AD24" s="4"/>
      <c r="AE24" s="69"/>
      <c r="AF24" s="69"/>
    </row>
    <row r="25" spans="1:36" x14ac:dyDescent="0.2">
      <c r="A25" s="70" t="s">
        <v>76</v>
      </c>
      <c r="B25" s="70"/>
      <c r="C25" s="67">
        <f>COUNT('Precision '!D21:M21)</f>
        <v>0</v>
      </c>
      <c r="D25" s="67">
        <f>COUNT('Precision '!N21:V21)</f>
        <v>0</v>
      </c>
      <c r="I25" s="67" t="str">
        <f>I24</f>
        <v/>
      </c>
      <c r="J25" s="67" t="str">
        <f>J24</f>
        <v/>
      </c>
      <c r="L25" s="173" t="str">
        <f t="shared" si="2"/>
        <v/>
      </c>
      <c r="M25" s="137" t="e">
        <f>IF(ISNUMBER('Precision '!$P$21),N25,NA())</f>
        <v>#N/A</v>
      </c>
      <c r="N25" s="45">
        <v>3</v>
      </c>
      <c r="O25" s="45" t="e">
        <f>IF(OR(ISBLANK('Precision '!$T$48),COUNT('Precision '!$N$21:$W$21)&lt;'P Calc'!$N25),NA(),'P Calc'!$N25)</f>
        <v>#N/A</v>
      </c>
      <c r="P25" s="45" t="e">
        <f>IF('Precision '!$T$48="N",NA(),IF(OR(ISBLANK('Precision '!$AE$7),COUNT('Precision '!$N$25:$W$25)&lt;'P Calc'!$N25),"",'Precision '!$AE$7))</f>
        <v>#N/A</v>
      </c>
      <c r="Q25" s="45" t="str">
        <f>IF(AND(ISNUMBER('Precision '!$AE$7),(OR(ISNUMBER('Precision '!$AE$8),ISNUMBER('Precision '!$AE$10)))),$P$23+2*$S$14,"")</f>
        <v/>
      </c>
      <c r="R25" s="45" t="str">
        <f>IF(AND(ISNUMBER('Precision '!$AE$7),(OR(ISNUMBER('Precision '!$AE$8),ISNUMBER('Precision '!$AE$10)))),$P$23-2*$S$14,"")</f>
        <v/>
      </c>
      <c r="W25" s="372"/>
      <c r="X25" s="45" t="e">
        <f>IF(OR(ISBLANK('Precision '!$I$46),COUNT('Precision '!$D$21:$M$21)&lt;'P Calc'!$N21),NA(),'P Calc'!$N21)</f>
        <v>#N/A</v>
      </c>
      <c r="Y25" s="45" t="e">
        <f>IF('Precision '!$I$46="N",NA(),IF(OR(ISBLANK('Precision '!$Z$10),'Precision '!$Z$7+1&lt;'P Calc'!$N21),"",'Precision '!$Z$10))</f>
        <v>#VALUE!</v>
      </c>
      <c r="Z25" s="42" t="e">
        <f>Y25+2*'Precision '!Z$19</f>
        <v>#VALUE!</v>
      </c>
      <c r="AA25" s="42" t="e">
        <f>Y25-2*'Precision '!$Z$19</f>
        <v>#VALUE!</v>
      </c>
      <c r="AC25" s="76"/>
      <c r="AD25" s="4"/>
      <c r="AE25" s="69"/>
      <c r="AF25" s="69"/>
    </row>
    <row r="26" spans="1:36" x14ac:dyDescent="0.2">
      <c r="A26" s="66" t="str">
        <f>+A12</f>
        <v>Manuf. claimed within CV%:</v>
      </c>
      <c r="B26" s="66"/>
      <c r="C26" s="67">
        <f>'Precision '!Z35</f>
        <v>0</v>
      </c>
      <c r="D26" s="67">
        <f>'Precision '!AA35</f>
        <v>0</v>
      </c>
      <c r="I26" s="67" t="str">
        <f>IF('Precision '!I48="Y",M13,"")</f>
        <v/>
      </c>
      <c r="J26" s="67" t="str">
        <f>IF('Precision '!T48="Y",M23,"")</f>
        <v/>
      </c>
      <c r="L26" s="173" t="str">
        <f t="shared" si="2"/>
        <v/>
      </c>
      <c r="M26" s="137" t="e">
        <f>IF(ISNUMBER('Precision '!$Q$21),N26,NA())</f>
        <v>#N/A</v>
      </c>
      <c r="N26" s="45">
        <v>4</v>
      </c>
      <c r="O26" s="45" t="e">
        <f>IF(OR(ISBLANK('Precision '!$T$48),COUNT('Precision '!$N$21:$W$21)&lt;'P Calc'!$N26),NA(),'P Calc'!$N26)</f>
        <v>#N/A</v>
      </c>
      <c r="P26" s="45" t="e">
        <f>IF('Precision '!$T$48="N",NA(),IF(OR(ISBLANK('Precision '!$AE$7),COUNT('Precision '!$N$25:$W$25)&lt;'P Calc'!$N26),"",'Precision '!$AE$7))</f>
        <v>#N/A</v>
      </c>
      <c r="Q26" s="45" t="str">
        <f>IF(AND(ISNUMBER('Precision '!$AE$7),(OR(ISNUMBER('Precision '!$AE$8),ISNUMBER('Precision '!$AE$10)))),$P$23+2*$S$14,"")</f>
        <v/>
      </c>
      <c r="R26" s="45" t="str">
        <f>IF(AND(ISNUMBER('Precision '!$AE$7),(OR(ISNUMBER('Precision '!$AE$8),ISNUMBER('Precision '!$AE$10)))),$P$23-2*$S$14,"")</f>
        <v/>
      </c>
      <c r="W26" s="373"/>
      <c r="X26" s="45" t="e">
        <f>IF(OR(ISBLANK('Precision '!$I$46),COUNT('Precision '!$D$21:$M$21)&lt;'P Calc'!$N22),NA(),'P Calc'!$N22)</f>
        <v>#N/A</v>
      </c>
      <c r="Y26" s="45" t="e">
        <f>IF('Precision '!$I$46="N",NA(),IF(OR(ISBLANK('Precision '!$Z$10),'Precision '!$Z$7+1&lt;'P Calc'!$N22),"",'Precision '!$Z$10))</f>
        <v>#VALUE!</v>
      </c>
      <c r="Z26" s="42" t="e">
        <f>Y26+2*'Precision '!Z$19</f>
        <v>#VALUE!</v>
      </c>
      <c r="AA26" s="42" t="e">
        <f>Y26-2*'Precision '!$Z$19</f>
        <v>#VALUE!</v>
      </c>
      <c r="AC26" s="68"/>
      <c r="AD26" s="68"/>
      <c r="AE26" s="69"/>
      <c r="AF26" s="69"/>
    </row>
    <row r="27" spans="1:36" ht="16.5" customHeight="1" x14ac:dyDescent="0.2">
      <c r="A27" s="66" t="str">
        <f>A13</f>
        <v>Manuf. claimed within SD:</v>
      </c>
      <c r="B27" s="66"/>
      <c r="C27" s="45" t="str">
        <f>IF(ISBLANK('Precision '!Z33),'Precision '!Z34,'Precision '!Z33)</f>
        <v/>
      </c>
      <c r="D27" s="67" t="str">
        <f>IF(ISBLANK('Precision '!AA33),'Precision '!AA34,'Precision '!AA33)</f>
        <v/>
      </c>
      <c r="I27" s="67">
        <f>MAX(L13:L22)</f>
        <v>0</v>
      </c>
      <c r="J27" s="67">
        <f>MAX(L23:L32)</f>
        <v>0</v>
      </c>
      <c r="L27" s="173" t="str">
        <f t="shared" si="2"/>
        <v/>
      </c>
      <c r="M27" s="137" t="e">
        <f>IF(ISNUMBER('Precision '!$R$21),N27,NA())</f>
        <v>#N/A</v>
      </c>
      <c r="N27" s="45">
        <v>5</v>
      </c>
      <c r="O27" s="45" t="e">
        <f>IF(OR(ISBLANK('Precision '!$T$48),COUNT('Precision '!$N$21:$W$21)&lt;'P Calc'!$N27),NA(),'P Calc'!$N27)</f>
        <v>#N/A</v>
      </c>
      <c r="P27" s="45" t="e">
        <f>IF('Precision '!$T$48="N",NA(),IF(OR(ISBLANK('Precision '!$AE$7),COUNT('Precision '!$N$25:$W$25)&lt;'P Calc'!$N27),"",'Precision '!$AE$7))</f>
        <v>#N/A</v>
      </c>
      <c r="Q27" s="45" t="str">
        <f>IF(AND(ISNUMBER('Precision '!$AE$7),(OR(ISNUMBER('Precision '!$AE$8),ISNUMBER('Precision '!$AE$10)))),$P$23+2*$S$14,"")</f>
        <v/>
      </c>
      <c r="R27" s="45" t="str">
        <f>IF(AND(ISNUMBER('Precision '!$AE$7),(OR(ISNUMBER('Precision '!$AE$8),ISNUMBER('Precision '!$AE$10)))),$P$23-2*$S$14,"")</f>
        <v/>
      </c>
      <c r="W27" s="374" t="s">
        <v>80</v>
      </c>
      <c r="X27" s="45" t="e">
        <f>IF(OR(ISBLANK('Precision '!$T$46),COUNT('Precision '!$N$21:$W$21)&lt;'P Calc'!$N23),NA(),'P Calc'!$N23)</f>
        <v>#N/A</v>
      </c>
      <c r="Y27" s="45" t="e">
        <f>IF('Precision '!$T$46="N",NA(),IF(OR(ISBLANK('Precision '!$AA$10),'Precision '!$AA$7+1&lt;'P Calc'!$N23),"",'Precision '!$AA$10))</f>
        <v>#VALUE!</v>
      </c>
      <c r="Z27" s="45" t="e">
        <f>Y27+2*'Precision '!AA$19</f>
        <v>#VALUE!</v>
      </c>
      <c r="AA27" s="45" t="e">
        <f>Y27-2*'Precision '!$AA$19</f>
        <v>#VALUE!</v>
      </c>
      <c r="AC27" s="68"/>
      <c r="AD27" s="68"/>
      <c r="AE27" s="69"/>
      <c r="AF27" s="69"/>
    </row>
    <row r="28" spans="1:36" x14ac:dyDescent="0.2">
      <c r="A28" s="66" t="str">
        <f>+A14</f>
        <v>False rejection rate  (%):</v>
      </c>
      <c r="B28" s="66"/>
      <c r="C28" s="45">
        <f>'Precision '!Z36/100</f>
        <v>0.05</v>
      </c>
      <c r="D28" s="45">
        <f>'Precision '!AA36/100</f>
        <v>0.05</v>
      </c>
      <c r="I28" s="67" t="str">
        <f>IF('Precision '!I48="Y",'Precision '!AD16,"")</f>
        <v/>
      </c>
      <c r="J28" s="67" t="str">
        <f>IF('Precision '!T48="Y",'Precision '!AE16,"")</f>
        <v/>
      </c>
      <c r="L28" s="173" t="str">
        <f t="shared" si="2"/>
        <v/>
      </c>
      <c r="M28" s="137" t="e">
        <f>IF(ISNUMBER('Precision '!$S$21),N28,NA())</f>
        <v>#N/A</v>
      </c>
      <c r="N28" s="45">
        <v>6</v>
      </c>
      <c r="O28" s="45" t="e">
        <f>IF(OR(ISBLANK('Precision '!$T$48),COUNT('Precision '!$N$21:$W$21)&lt;'P Calc'!$N28),NA(),'P Calc'!$N28)</f>
        <v>#N/A</v>
      </c>
      <c r="P28" s="45" t="e">
        <f>IF('Precision '!$T$48="N",NA(),IF(OR(ISBLANK('Precision '!$AE$7),COUNT('Precision '!$N$25:$W$25)&lt;'P Calc'!$N28),"",'Precision '!$AE$7))</f>
        <v>#N/A</v>
      </c>
      <c r="Q28" s="45" t="str">
        <f>IF(AND(ISNUMBER('Precision '!$AE$7),(OR(ISNUMBER('Precision '!$AE$8),ISNUMBER('Precision '!$AE$10)))),$P$23+2*$S$14,"")</f>
        <v/>
      </c>
      <c r="R28" s="45" t="str">
        <f>IF(AND(ISNUMBER('Precision '!$AE$7),(OR(ISNUMBER('Precision '!$AE$8),ISNUMBER('Precision '!$AE$10)))),$P$23-2*$S$14,"")</f>
        <v/>
      </c>
      <c r="W28" s="375"/>
      <c r="X28" s="45" t="e">
        <f>IF(OR(ISBLANK('Precision '!$T$46),COUNT('Precision '!$N$21:$W$21)&lt;'P Calc'!$N24),NA(),'P Calc'!$N24)</f>
        <v>#N/A</v>
      </c>
      <c r="Y28" s="45" t="e">
        <f>IF('Precision '!$T$46="N",NA(),IF(OR(ISBLANK('Precision '!$AA$10),'Precision '!$AA$7+1&lt;'P Calc'!$N24),"",'Precision '!$AA$10))</f>
        <v>#VALUE!</v>
      </c>
      <c r="Z28" s="45" t="e">
        <f>Y28+2*'Precision '!AA$19</f>
        <v>#VALUE!</v>
      </c>
      <c r="AA28" s="45" t="e">
        <f>Y28-2*'Precision '!$AA$19</f>
        <v>#VALUE!</v>
      </c>
      <c r="AC28" s="68"/>
      <c r="AD28" s="68"/>
      <c r="AE28" s="69"/>
      <c r="AF28" s="69"/>
    </row>
    <row r="29" spans="1:36" x14ac:dyDescent="0.2">
      <c r="A29" s="70" t="str">
        <f>+A15</f>
        <v>Verification value:</v>
      </c>
      <c r="B29" s="70"/>
      <c r="C29" s="45" t="str">
        <f>IF(OR(AND(ISBLANK('Precision '!Z33),ISBLANK('Precision '!Z35)),ISBLANK('Precision '!D7)),"",C27*SQRT(F31/C23))</f>
        <v/>
      </c>
      <c r="D29" s="45" t="str">
        <f>IF(OR(AND(ISBLANK('Precision '!AA33),ISBLANK('Precision '!AA35)),ISBLANK('Precision '!N7)),"",D27*SQRT(H31/D23))</f>
        <v/>
      </c>
      <c r="I29" s="67" t="str">
        <f>I28</f>
        <v/>
      </c>
      <c r="J29" s="67" t="str">
        <f>J28</f>
        <v/>
      </c>
      <c r="L29" s="173" t="str">
        <f t="shared" si="2"/>
        <v/>
      </c>
      <c r="M29" s="137" t="e">
        <f>IF(ISNUMBER('Precision '!$T$21),N29,NA())</f>
        <v>#N/A</v>
      </c>
      <c r="N29" s="45">
        <v>7</v>
      </c>
      <c r="O29" s="45" t="e">
        <f>IF(OR(ISBLANK('Precision '!$T$48),COUNT('Precision '!$N$21:$W$21)&lt;'P Calc'!$N29),NA(),'P Calc'!$N29)</f>
        <v>#N/A</v>
      </c>
      <c r="P29" s="45" t="e">
        <f>IF('Precision '!$T$48="N",NA(),IF(OR(ISBLANK('Precision '!$AE$7),COUNT('Precision '!$N$25:$W$25)&lt;'P Calc'!$N29),"",'Precision '!$AE$7))</f>
        <v>#N/A</v>
      </c>
      <c r="Q29" s="45" t="str">
        <f>IF(AND(ISNUMBER('Precision '!$AE$7),(OR(ISNUMBER('Precision '!$AE$8),ISNUMBER('Precision '!$AE$10)))),$P$23+2*$S$14,"")</f>
        <v/>
      </c>
      <c r="R29" s="45" t="str">
        <f>IF(AND(ISNUMBER('Precision '!$AE$7),(OR(ISNUMBER('Precision '!$AE$8),ISNUMBER('Precision '!$AE$10)))),$P$23-2*$S$14,"")</f>
        <v/>
      </c>
      <c r="W29" s="375"/>
      <c r="X29" s="45" t="e">
        <f>IF(OR(ISBLANK('Precision '!$T$46),COUNT('Precision '!$N$21:$W$21)&lt;'P Calc'!$N25),NA(),'P Calc'!$N25)</f>
        <v>#N/A</v>
      </c>
      <c r="Y29" s="45" t="e">
        <f>IF('Precision '!$T$46="N",NA(),IF(OR(ISBLANK('Precision '!$AA$10),'Precision '!$AA$7+1&lt;'P Calc'!$N25),"",'Precision '!$AA$10))</f>
        <v>#VALUE!</v>
      </c>
      <c r="Z29" s="45" t="e">
        <f>Y29+2*'Precision '!AA$19</f>
        <v>#VALUE!</v>
      </c>
      <c r="AA29" s="45" t="e">
        <f>Y29-2*'Precision '!$AA$19</f>
        <v>#VALUE!</v>
      </c>
      <c r="AC29" s="68"/>
      <c r="AD29" s="68"/>
      <c r="AE29" s="69"/>
      <c r="AF29" s="69"/>
    </row>
    <row r="30" spans="1:36" x14ac:dyDescent="0.2">
      <c r="A30" s="71" t="str">
        <f>+A16</f>
        <v>Level' (2, 3 or 4):</v>
      </c>
      <c r="B30" s="71"/>
      <c r="C30" s="45">
        <v>2</v>
      </c>
      <c r="D30" s="45">
        <v>2</v>
      </c>
      <c r="I30" s="67" t="str">
        <f>IF('Precision '!I48="Y",'Precision '!AD17,"")</f>
        <v/>
      </c>
      <c r="J30" s="67" t="str">
        <f>IF('Precision '!T48="Y",'Precision '!AE17,"")</f>
        <v/>
      </c>
      <c r="L30" s="173" t="str">
        <f t="shared" si="2"/>
        <v/>
      </c>
      <c r="M30" s="137" t="e">
        <f>IF(ISNUMBER('Precision '!$U$21),N30,NA())</f>
        <v>#N/A</v>
      </c>
      <c r="N30" s="45">
        <v>8</v>
      </c>
      <c r="O30" s="45" t="e">
        <f>IF(OR(ISBLANK('Precision '!$T$48),COUNT('Precision '!$N$21:$W$21)&lt;'P Calc'!$N30),NA(),'P Calc'!$N30)</f>
        <v>#N/A</v>
      </c>
      <c r="P30" s="45" t="e">
        <f>IF('Precision '!$T$48="N",NA(),IF(OR(ISBLANK('Precision '!$AE$7),COUNT('Precision '!$N$25:$W$25)&lt;'P Calc'!$N30),"",'Precision '!$AE$7))</f>
        <v>#N/A</v>
      </c>
      <c r="Q30" s="45" t="str">
        <f>IF(AND(ISNUMBER('Precision '!$AE$7),(OR(ISNUMBER('Precision '!$AE$8),ISNUMBER('Precision '!$AE$10)))),$P$23+2*$S$14,"")</f>
        <v/>
      </c>
      <c r="R30" s="45" t="str">
        <f>IF(AND(ISNUMBER('Precision '!$AE$7),(OR(ISNUMBER('Precision '!$AE$8),ISNUMBER('Precision '!$AE$10)))),$P$23-2*$S$14,"")</f>
        <v/>
      </c>
      <c r="W30" s="375"/>
      <c r="X30" s="45" t="e">
        <f>IF(OR(ISBLANK('Precision '!$T$46),COUNT('Precision '!$N$21:$W$21)&lt;'P Calc'!$N26),NA(),'P Calc'!$N26)</f>
        <v>#N/A</v>
      </c>
      <c r="Y30" s="45" t="e">
        <f>IF('Precision '!$T$46="N",NA(),IF(OR(ISBLANK('Precision '!$AA$10),'Precision '!$AA$7+1&lt;'P Calc'!$N26),"",'Precision '!$AA$10))</f>
        <v>#VALUE!</v>
      </c>
      <c r="Z30" s="45" t="e">
        <f>Y30+2*'Precision '!AA$19</f>
        <v>#VALUE!</v>
      </c>
      <c r="AA30" s="45" t="e">
        <f>Y30-2*'Precision '!$AA$19</f>
        <v>#VALUE!</v>
      </c>
      <c r="AC30" s="68"/>
      <c r="AD30" s="68"/>
      <c r="AE30" s="69"/>
      <c r="AF30" s="69"/>
    </row>
    <row r="31" spans="1:36" x14ac:dyDescent="0.2">
      <c r="A31" s="70" t="s">
        <v>68</v>
      </c>
      <c r="B31" s="70"/>
      <c r="C31" s="45">
        <f>1-C28/(C30)</f>
        <v>0.97499999999999998</v>
      </c>
      <c r="D31" s="45">
        <f>1-D28/(D30)</f>
        <v>0.97499999999999998</v>
      </c>
      <c r="E31" s="49" t="s">
        <v>68</v>
      </c>
      <c r="F31" s="45" t="e">
        <f>CHIINV(1-C31,ROUND(C23,0))</f>
        <v>#DIV/0!</v>
      </c>
      <c r="G31" s="49" t="s">
        <v>68</v>
      </c>
      <c r="H31" s="45" t="e">
        <f>CHIINV(1-D31,ROUND(D23,0))</f>
        <v>#DIV/0!</v>
      </c>
      <c r="I31" s="67" t="str">
        <f>I30</f>
        <v/>
      </c>
      <c r="J31" s="67" t="str">
        <f>J30</f>
        <v/>
      </c>
      <c r="L31" s="173" t="str">
        <f t="shared" si="2"/>
        <v/>
      </c>
      <c r="M31" s="137" t="e">
        <f>IF(ISNUMBER('Precision '!$V$21),N31,NA())</f>
        <v>#N/A</v>
      </c>
      <c r="N31" s="45">
        <v>9</v>
      </c>
      <c r="O31" s="45" t="e">
        <f>IF(OR(ISBLANK('Precision '!$T$48),COUNT('Precision '!$N$21:$W$21)&lt;'P Calc'!$N31),NA(),'P Calc'!$N31)</f>
        <v>#N/A</v>
      </c>
      <c r="P31" s="45" t="e">
        <f>IF('Precision '!$T$48="N",NA(),IF(OR(ISBLANK('Precision '!$AE$7),COUNT('Precision '!$N$25:$W$25)&lt;'P Calc'!$N31),"",'Precision '!$AE$7))</f>
        <v>#N/A</v>
      </c>
      <c r="Q31" s="45" t="str">
        <f>IF(AND(ISNUMBER('Precision '!$AE$7),(OR(ISNUMBER('Precision '!$AE$8),ISNUMBER('Precision '!$AE$10)))),$P$23+2*$S$14,"")</f>
        <v/>
      </c>
      <c r="R31" s="45" t="str">
        <f>IF(AND(ISNUMBER('Precision '!$AE$7),(OR(ISNUMBER('Precision '!$AE$8),ISNUMBER('Precision '!$AE$10)))),$P$23-2*$S$14,"")</f>
        <v/>
      </c>
      <c r="W31" s="375"/>
      <c r="X31" s="45" t="e">
        <f>IF(OR(ISBLANK('Precision '!$T$46),COUNT('Precision '!$N$21:$W$21)&lt;'P Calc'!$N27),NA(),'P Calc'!$N27)</f>
        <v>#N/A</v>
      </c>
      <c r="Y31" s="45" t="e">
        <f>IF('Precision '!$T$46="N",NA(),IF(OR(ISBLANK('Precision '!$AA$10),'Precision '!$AA$7+1&lt;'P Calc'!$N27),"",'Precision '!$AA$10))</f>
        <v>#VALUE!</v>
      </c>
      <c r="Z31" s="45" t="e">
        <f>Y31+2*'Precision '!AA$19</f>
        <v>#VALUE!</v>
      </c>
      <c r="AA31" s="45" t="e">
        <f>Y31-2*'Precision '!$AA$19</f>
        <v>#VALUE!</v>
      </c>
      <c r="AC31" s="68"/>
      <c r="AD31" s="68"/>
    </row>
    <row r="32" spans="1:36" x14ac:dyDescent="0.2">
      <c r="A32" s="70" t="str">
        <f>+A18</f>
        <v>Evaluation</v>
      </c>
      <c r="B32" s="70"/>
      <c r="C32" s="45" t="str">
        <f>IF('Precision '!Z19&lt;C29,E19,E18)</f>
        <v>Review !!</v>
      </c>
      <c r="D32" s="45" t="str">
        <f>IF('Precision '!AA19&lt;D29,E19,E18)</f>
        <v>Review !!</v>
      </c>
      <c r="L32" s="173" t="str">
        <f t="shared" si="2"/>
        <v/>
      </c>
      <c r="M32" s="138" t="e">
        <f>IF(ISNUMBER('Precision '!$W$21),N32,NA())</f>
        <v>#N/A</v>
      </c>
      <c r="N32" s="45">
        <v>10</v>
      </c>
      <c r="O32" s="45" t="e">
        <f>IF(OR(ISBLANK('Precision '!$T$48),COUNT('Precision '!$N$21:$W$21)&lt;'P Calc'!$N32),NA(),'P Calc'!$N32)</f>
        <v>#N/A</v>
      </c>
      <c r="P32" s="45" t="e">
        <f>IF('Precision '!$T$48="N",NA(),IF(OR(ISBLANK('Precision '!$AE$7),COUNT('Precision '!$N$25:$W$25)&lt;'P Calc'!$N32),"",'Precision '!$AE$7))</f>
        <v>#N/A</v>
      </c>
      <c r="Q32" s="45" t="str">
        <f>IF(AND(ISNUMBER('Precision '!$AE$7),(OR(ISNUMBER('Precision '!$AE$8),ISNUMBER('Precision '!$AE$10)))),$P$23+2*$S$14,"")</f>
        <v/>
      </c>
      <c r="R32" s="45" t="str">
        <f>IF(AND(ISNUMBER('Precision '!$AE$7),(OR(ISNUMBER('Precision '!$AE$8),ISNUMBER('Precision '!$AE$10)))),$P$23-2*$S$14,"")</f>
        <v/>
      </c>
      <c r="W32" s="375"/>
      <c r="X32" s="45" t="e">
        <f>IF(OR(ISBLANK('Precision '!$T$46),COUNT('Precision '!$N$21:$W$21)&lt;'P Calc'!$N28),NA(),'P Calc'!$N28)</f>
        <v>#N/A</v>
      </c>
      <c r="Y32" s="45" t="e">
        <f>IF('Precision '!$T$46="N",NA(),IF(OR(ISBLANK('Precision '!$AA$10),'Precision '!$AA$7+1&lt;'P Calc'!$N28),"",'Precision '!$AA$10))</f>
        <v>#VALUE!</v>
      </c>
      <c r="Z32" s="45" t="e">
        <f>Y32+2*'Precision '!AA$19</f>
        <v>#VALUE!</v>
      </c>
      <c r="AA32" s="45" t="e">
        <f>Y32-2*'Precision '!$AA$19</f>
        <v>#VALUE!</v>
      </c>
      <c r="AB32" s="68"/>
      <c r="AC32" s="68"/>
    </row>
    <row r="33" spans="3:30" x14ac:dyDescent="0.2">
      <c r="W33" s="375"/>
      <c r="X33" s="45" t="e">
        <f>IF(OR(ISBLANK('Precision '!$T$46),COUNT('Precision '!$N$21:$W$21)&lt;'P Calc'!$N29),NA(),'P Calc'!$N29)</f>
        <v>#N/A</v>
      </c>
      <c r="Y33" s="45" t="e">
        <f>IF('Precision '!$T$46="N",NA(),IF(OR(ISBLANK('Precision '!$AA$10),'Precision '!$AA$7+1&lt;'P Calc'!$N29),"",'Precision '!$AA$10))</f>
        <v>#VALUE!</v>
      </c>
      <c r="Z33" s="45" t="e">
        <f>Y33+2*'Precision '!AA$19</f>
        <v>#VALUE!</v>
      </c>
      <c r="AA33" s="45" t="e">
        <f>Y33-2*'Precision '!$AA$19</f>
        <v>#VALUE!</v>
      </c>
      <c r="AB33" s="68"/>
      <c r="AC33" s="68"/>
    </row>
    <row r="34" spans="3:30" x14ac:dyDescent="0.2">
      <c r="C34" s="45" t="s">
        <v>121</v>
      </c>
      <c r="W34" s="375"/>
      <c r="X34" s="45" t="e">
        <f>IF(OR(ISBLANK('Precision '!$T$46),COUNT('Precision '!$N$21:$W$21)&lt;'P Calc'!$N30),NA(),'P Calc'!$N30)</f>
        <v>#N/A</v>
      </c>
      <c r="Y34" s="45" t="e">
        <f>IF('Precision '!$T$46="N",NA(),IF(OR(ISBLANK('Precision '!$AA$10),'Precision '!$AA$7+1&lt;'P Calc'!$N30),"",'Precision '!$AA$10))</f>
        <v>#VALUE!</v>
      </c>
      <c r="Z34" s="45" t="e">
        <f>Y34+2*'Precision '!AA$19</f>
        <v>#VALUE!</v>
      </c>
      <c r="AA34" s="45" t="e">
        <f>Y34-2*'Precision '!$AA$19</f>
        <v>#VALUE!</v>
      </c>
      <c r="AB34" s="42"/>
      <c r="AC34" s="68"/>
    </row>
    <row r="35" spans="3:30" x14ac:dyDescent="0.2">
      <c r="C35" s="45" t="str">
        <f>IF(COUNT('Precision '!$D$10:$D$19)&lt;2,"",IF('Precision '!$I$47="N",NA(),IF('Precision '!$I$47="sd",'Precision '!D22,IF('Precision '!$I$47="se",'Precision '!D24,""))))</f>
        <v/>
      </c>
      <c r="D35" s="45" t="str">
        <f>IF(COUNT('Precision '!$D$10:$D$19)&lt;2,"",IF('Precision '!$I$47="N",NA(),IF('Precision '!$I$47="sd",'Precision '!E22,IF('Precision '!$I$47="se",'Precision '!E24,""))))</f>
        <v/>
      </c>
      <c r="E35" s="45" t="str">
        <f>IF(COUNT('Precision '!$D$10:$D$19)&lt;2,"",IF('Precision '!$I$47="N",NA(),IF('Precision '!$I$47="sd",'Precision '!F22,IF('Precision '!$I$47="se",'Precision '!F24,""))))</f>
        <v/>
      </c>
      <c r="F35" s="45" t="str">
        <f>IF(COUNT('Precision '!$D$10:$D$19)&lt;2,"",IF('Precision '!$I$47="N",NA(),IF('Precision '!$I$47="sd",'Precision '!G22,IF('Precision '!$I$47="se",'Precision '!G24,""))))</f>
        <v/>
      </c>
      <c r="G35" s="45" t="str">
        <f>IF(COUNT('Precision '!$D$10:$D$19)&lt;2,"",IF('Precision '!$I$47="N",NA(),IF('Precision '!$I$47="sd",'Precision '!H22,IF('Precision '!$I$47="se",'Precision '!H24,""))))</f>
        <v/>
      </c>
      <c r="H35" s="45" t="str">
        <f>IF(COUNT('Precision '!$D$10:$D$19)&lt;2,"",IF('Precision '!$I$47="N",NA(),IF('Precision '!$I$47="sd",'Precision '!I22,IF('Precision '!$I$47="se",'Precision '!I24,""))))</f>
        <v/>
      </c>
      <c r="I35" s="45" t="str">
        <f>IF(COUNT('Precision '!$D$10:$D$19)&lt;2,"",IF('Precision '!$I$47="N",NA(),IF('Precision '!$I$47="sd",'Precision '!J22,IF('Precision '!$I$47="se",'Precision '!J24,""))))</f>
        <v/>
      </c>
      <c r="J35" s="45" t="str">
        <f>IF(COUNT('Precision '!$D$10:$D$19)&lt;2,"",IF('Precision '!$I$47="N",NA(),IF('Precision '!$I$47="sd",'Precision '!K22,IF('Precision '!$I$47="se",'Precision '!K24,""))))</f>
        <v/>
      </c>
      <c r="K35" s="45" t="str">
        <f>IF(COUNT('Precision '!$D$10:$D$19)&lt;2,"",IF('Precision '!$I$47="N",NA(),IF('Precision '!$I$47="sd",'Precision '!L22,IF('Precision '!$I$47="se",'Precision '!L24,""))))</f>
        <v/>
      </c>
      <c r="L35" s="45" t="str">
        <f>IF(COUNT('Precision '!$D$10:$D$19)&lt;2,"",IF('Precision '!$I$47="N",NA(),IF('Precision '!$I$47="sd",'Precision '!M22,IF('Precision '!$I$47="se",'Precision '!M24,""))))</f>
        <v/>
      </c>
      <c r="W35" s="375"/>
      <c r="X35" s="45" t="e">
        <f>IF(OR(ISBLANK('Precision '!$T$46),COUNT('Precision '!$N$21:$W$21)&lt;'P Calc'!$N31),NA(),'P Calc'!$N31)</f>
        <v>#N/A</v>
      </c>
      <c r="Y35" s="45" t="e">
        <f>IF('Precision '!$T$46="N",NA(),IF(OR(ISBLANK('Precision '!$AA$10),'Precision '!$AA$7+1&lt;'P Calc'!$N31),"",'Precision '!$AA$10))</f>
        <v>#VALUE!</v>
      </c>
      <c r="Z35" s="45" t="e">
        <f>Y35+2*'Precision '!AA$19</f>
        <v>#VALUE!</v>
      </c>
      <c r="AA35" s="45" t="e">
        <f>Y35-2*'Precision '!$AA$19</f>
        <v>#VALUE!</v>
      </c>
      <c r="AC35" s="42"/>
      <c r="AD35" s="68"/>
    </row>
    <row r="36" spans="3:30" x14ac:dyDescent="0.2">
      <c r="W36" s="375"/>
      <c r="X36" s="45" t="e">
        <f>IF(OR(ISBLANK('Precision '!$T$46),COUNT('Precision '!$N$21:$W$21)&lt;'P Calc'!$N32),NA(),'P Calc'!$N32)</f>
        <v>#N/A</v>
      </c>
      <c r="Y36" s="45" t="e">
        <f>IF('Precision '!$T$46="N",NA(),IF(OR(ISBLANK('Precision '!$AA$10),'Precision '!$AA$7+1&lt;'P Calc'!$N32),"",'Precision '!$AA$10))</f>
        <v>#VALUE!</v>
      </c>
      <c r="Z36" s="45" t="e">
        <f>Y36+2*'Precision '!AA$19</f>
        <v>#VALUE!</v>
      </c>
      <c r="AA36" s="45" t="e">
        <f>Y36-2*'Precision '!$AA$19</f>
        <v>#VALUE!</v>
      </c>
      <c r="AB36" s="42"/>
      <c r="AC36" s="68"/>
    </row>
    <row r="37" spans="3:30" x14ac:dyDescent="0.2">
      <c r="C37" s="45" t="s">
        <v>122</v>
      </c>
      <c r="X37" s="45" t="str">
        <f>'Precision '!T46</f>
        <v>Y</v>
      </c>
    </row>
    <row r="38" spans="3:30" x14ac:dyDescent="0.2">
      <c r="C38" s="45" t="str">
        <f>IF(COUNT('Precision '!N10:N19)&lt;2,"",IF('Precision '!$T$47="N",NA(),IF('Precision '!$T$47="sd",'Precision '!N22,IF('Precision '!$T$47="se",'Precision '!N24,""))))</f>
        <v/>
      </c>
      <c r="D38" s="45" t="str">
        <f>IF(COUNT('Precision '!O10:O19)&lt;2,"",IF('Precision '!$T$47="N",NA(),IF('Precision '!$T$47="sd",'Precision '!O22,IF('Precision '!$T$47="se",'Precision '!O24,""))))</f>
        <v/>
      </c>
      <c r="E38" s="45" t="str">
        <f>IF(COUNT('Precision '!P10:P19)&lt;2,"",IF('Precision '!$T$47="N",NA(),IF('Precision '!$T$47="sd",'Precision '!P22,IF('Precision '!$T$47="se",'Precision '!P24,""))))</f>
        <v/>
      </c>
      <c r="F38" s="45" t="str">
        <f>IF(COUNT('Precision '!Q10:Q19)&lt;2,"",IF('Precision '!$T$47="N",NA(),IF('Precision '!$T$47="sd",'Precision '!Q22,IF('Precision '!$T$47="se",'Precision '!Q24,""))))</f>
        <v/>
      </c>
      <c r="G38" s="45" t="str">
        <f>IF(COUNT('Precision '!R10:R19)&lt;2,"",IF('Precision '!$T$47="N",NA(),IF('Precision '!$T$47="sd",'Precision '!R22,IF('Precision '!$T$47="se",'Precision '!R24,""))))</f>
        <v/>
      </c>
      <c r="H38" s="45" t="str">
        <f>IF(COUNT('Precision '!S10:S19)&lt;2,"",IF('Precision '!$T$47="N",NA(),IF('Precision '!$T$47="sd",'Precision '!S22,IF('Precision '!$T$47="se",'Precision '!S24,""))))</f>
        <v/>
      </c>
      <c r="I38" s="45" t="str">
        <f>IF(COUNT('Precision '!T10:T19)&lt;2,"",IF('Precision '!$T$47="N",NA(),IF('Precision '!$T$47="sd",'Precision '!T22,IF('Precision '!$T$47="se",'Precision '!T24,""))))</f>
        <v/>
      </c>
      <c r="J38" s="45" t="str">
        <f>IF(COUNT('Precision '!U10:U19)&lt;2,"",IF('Precision '!$T$47="N",NA(),IF('Precision '!$T$47="sd",'Precision '!U22,IF('Precision '!$T$47="se",'Precision '!U24,""))))</f>
        <v/>
      </c>
      <c r="K38" s="45" t="str">
        <f>IF(COUNT('Precision '!V10:V19)&lt;2,"",IF('Precision '!$T$47="N",NA(),IF('Precision '!$T$47="sd",'Precision '!V22,IF('Precision '!$T$47="se",'Precision '!V24,""))))</f>
        <v/>
      </c>
      <c r="L38" s="45" t="str">
        <f>IF(COUNT('Precision '!W10:W19)&lt;2,"",IF('Precision '!$T$47="N",NA(),IF('Precision '!$T$47="sd",'Precision '!W22,IF('Precision '!$T$47="se",'Precision '!W24,""))))</f>
        <v/>
      </c>
    </row>
    <row r="41" spans="3:30" x14ac:dyDescent="0.2">
      <c r="C41" s="67" t="e">
        <f>IF(ISBLANK('Precision '!D10),NA(),'Precision '!D10)</f>
        <v>#N/A</v>
      </c>
      <c r="D41" s="67" t="e">
        <f>IF(ISBLANK('Precision '!E10),NA(),'Precision '!E10)</f>
        <v>#N/A</v>
      </c>
      <c r="E41" s="67" t="e">
        <f>IF(ISBLANK('Precision '!F10),NA(),'Precision '!F10)</f>
        <v>#N/A</v>
      </c>
      <c r="F41" s="67" t="e">
        <f>IF(ISBLANK('Precision '!G10),NA(),'Precision '!G10)</f>
        <v>#N/A</v>
      </c>
      <c r="G41" s="67" t="e">
        <f>IF(ISBLANK('Precision '!H10),NA(),'Precision '!H10)</f>
        <v>#N/A</v>
      </c>
      <c r="H41" s="67" t="e">
        <f>IF(ISBLANK('Precision '!I10),NA(),'Precision '!I10)</f>
        <v>#N/A</v>
      </c>
      <c r="I41" s="67" t="e">
        <f>IF(ISBLANK('Precision '!J10),NA(),'Precision '!J10)</f>
        <v>#N/A</v>
      </c>
      <c r="J41" s="67" t="e">
        <f>IF(ISBLANK('Precision '!K10),NA(),'Precision '!K10)</f>
        <v>#N/A</v>
      </c>
      <c r="K41" s="67" t="e">
        <f>IF(ISBLANK('Precision '!L10),NA(),'Precision '!L10)</f>
        <v>#N/A</v>
      </c>
      <c r="L41" s="67" t="e">
        <f>IF(ISBLANK('Precision '!M10),NA(),'Precision '!M10)</f>
        <v>#N/A</v>
      </c>
      <c r="M41" s="145" t="e">
        <f>IF(ISBLANK('Precision '!N10),NA(),'Precision '!N10)</f>
        <v>#N/A</v>
      </c>
      <c r="N41" s="67" t="e">
        <f>IF(ISBLANK('Precision '!O10),NA(),'Precision '!O10)</f>
        <v>#N/A</v>
      </c>
      <c r="O41" s="67" t="e">
        <f>IF(ISBLANK('Precision '!P10),NA(),'Precision '!P10)</f>
        <v>#N/A</v>
      </c>
      <c r="P41" s="67" t="e">
        <f>IF(ISBLANK('Precision '!Q10),NA(),'Precision '!Q10)</f>
        <v>#N/A</v>
      </c>
      <c r="Q41" s="67" t="e">
        <f>IF(ISBLANK('Precision '!R10),NA(),'Precision '!R10)</f>
        <v>#N/A</v>
      </c>
      <c r="R41" s="67" t="e">
        <f>IF(ISBLANK('Precision '!S10),NA(),'Precision '!S10)</f>
        <v>#N/A</v>
      </c>
      <c r="S41" s="67" t="e">
        <f>IF(ISBLANK('Precision '!T10),NA(),'Precision '!T10)</f>
        <v>#N/A</v>
      </c>
      <c r="T41" s="67" t="e">
        <f>IF(ISBLANK('Precision '!U10),NA(),'Precision '!U10)</f>
        <v>#N/A</v>
      </c>
      <c r="U41" s="67" t="e">
        <f>IF(ISBLANK('Precision '!V10),NA(),'Precision '!V10)</f>
        <v>#N/A</v>
      </c>
      <c r="V41" s="67" t="e">
        <f>IF(ISBLANK('Precision '!W10),NA(),'Precision '!W10)</f>
        <v>#N/A</v>
      </c>
    </row>
    <row r="42" spans="3:30" x14ac:dyDescent="0.2">
      <c r="C42" s="67" t="e">
        <f>IF(ISBLANK('Precision '!D11),NA(),'Precision '!D11)</f>
        <v>#N/A</v>
      </c>
      <c r="D42" s="67" t="e">
        <f>IF(ISBLANK('Precision '!E11),NA(),'Precision '!E11)</f>
        <v>#N/A</v>
      </c>
      <c r="E42" s="67" t="e">
        <f>IF(ISBLANK('Precision '!F11),NA(),'Precision '!F11)</f>
        <v>#N/A</v>
      </c>
      <c r="F42" s="67" t="e">
        <f>IF(ISBLANK('Precision '!G11),NA(),'Precision '!G11)</f>
        <v>#N/A</v>
      </c>
      <c r="G42" s="67" t="e">
        <f>IF(ISBLANK('Precision '!H11),NA(),'Precision '!H11)</f>
        <v>#N/A</v>
      </c>
      <c r="H42" s="67" t="e">
        <f>IF(ISBLANK('Precision '!I11),NA(),'Precision '!I11)</f>
        <v>#N/A</v>
      </c>
      <c r="I42" s="67" t="e">
        <f>IF(ISBLANK('Precision '!J11),NA(),'Precision '!J11)</f>
        <v>#N/A</v>
      </c>
      <c r="J42" s="67" t="e">
        <f>IF(ISBLANK('Precision '!K11),NA(),'Precision '!K11)</f>
        <v>#N/A</v>
      </c>
      <c r="K42" s="67" t="e">
        <f>IF(ISBLANK('Precision '!L11),NA(),'Precision '!L11)</f>
        <v>#N/A</v>
      </c>
      <c r="L42" s="67" t="e">
        <f>IF(ISBLANK('Precision '!M11),NA(),'Precision '!M11)</f>
        <v>#N/A</v>
      </c>
      <c r="M42" s="145" t="e">
        <f>IF(ISBLANK('Precision '!N11),NA(),'Precision '!N11)</f>
        <v>#N/A</v>
      </c>
      <c r="N42" s="67" t="e">
        <f>IF(ISBLANK('Precision '!O11),NA(),'Precision '!O11)</f>
        <v>#N/A</v>
      </c>
      <c r="O42" s="67" t="e">
        <f>IF(ISBLANK('Precision '!P11),NA(),'Precision '!P11)</f>
        <v>#N/A</v>
      </c>
      <c r="P42" s="67" t="e">
        <f>IF(ISBLANK('Precision '!Q11),NA(),'Precision '!Q11)</f>
        <v>#N/A</v>
      </c>
      <c r="Q42" s="67" t="e">
        <f>IF(ISBLANK('Precision '!R11),NA(),'Precision '!R11)</f>
        <v>#N/A</v>
      </c>
      <c r="R42" s="67" t="e">
        <f>IF(ISBLANK('Precision '!S11),NA(),'Precision '!S11)</f>
        <v>#N/A</v>
      </c>
      <c r="S42" s="67" t="e">
        <f>IF(ISBLANK('Precision '!T11),NA(),'Precision '!T11)</f>
        <v>#N/A</v>
      </c>
      <c r="T42" s="67" t="e">
        <f>IF(ISBLANK('Precision '!U11),NA(),'Precision '!U11)</f>
        <v>#N/A</v>
      </c>
      <c r="U42" s="67" t="e">
        <f>IF(ISBLANK('Precision '!V11),NA(),'Precision '!V11)</f>
        <v>#N/A</v>
      </c>
      <c r="V42" s="67" t="e">
        <f>IF(ISBLANK('Precision '!W11),NA(),'Precision '!W11)</f>
        <v>#N/A</v>
      </c>
    </row>
    <row r="43" spans="3:30" x14ac:dyDescent="0.2">
      <c r="C43" s="67" t="e">
        <f>IF(ISBLANK('Precision '!D12),NA(),'Precision '!D12)</f>
        <v>#N/A</v>
      </c>
      <c r="D43" s="67" t="e">
        <f>IF(ISBLANK('Precision '!E12),NA(),'Precision '!E12)</f>
        <v>#N/A</v>
      </c>
      <c r="E43" s="67" t="e">
        <f>IF(ISBLANK('Precision '!F12),NA(),'Precision '!F12)</f>
        <v>#N/A</v>
      </c>
      <c r="F43" s="67" t="e">
        <f>IF(ISBLANK('Precision '!G12),NA(),'Precision '!G12)</f>
        <v>#N/A</v>
      </c>
      <c r="G43" s="67" t="e">
        <f>IF(ISBLANK('Precision '!H12),NA(),'Precision '!H12)</f>
        <v>#N/A</v>
      </c>
      <c r="H43" s="67" t="e">
        <f>IF(ISBLANK('Precision '!I12),NA(),'Precision '!I12)</f>
        <v>#N/A</v>
      </c>
      <c r="I43" s="67" t="e">
        <f>IF(ISBLANK('Precision '!J12),NA(),'Precision '!J12)</f>
        <v>#N/A</v>
      </c>
      <c r="J43" s="67" t="e">
        <f>IF(ISBLANK('Precision '!K12),NA(),'Precision '!K12)</f>
        <v>#N/A</v>
      </c>
      <c r="K43" s="67" t="e">
        <f>IF(ISBLANK('Precision '!L12),NA(),'Precision '!L12)</f>
        <v>#N/A</v>
      </c>
      <c r="L43" s="67" t="e">
        <f>IF(ISBLANK('Precision '!M12),NA(),'Precision '!M12)</f>
        <v>#N/A</v>
      </c>
      <c r="M43" s="145" t="e">
        <f>IF(ISBLANK('Precision '!N12),NA(),'Precision '!N12)</f>
        <v>#N/A</v>
      </c>
      <c r="N43" s="67" t="e">
        <f>IF(ISBLANK('Precision '!O12),NA(),'Precision '!O12)</f>
        <v>#N/A</v>
      </c>
      <c r="O43" s="67" t="e">
        <f>IF(ISBLANK('Precision '!P12),NA(),'Precision '!P12)</f>
        <v>#N/A</v>
      </c>
      <c r="P43" s="67" t="e">
        <f>IF(ISBLANK('Precision '!Q12),NA(),'Precision '!Q12)</f>
        <v>#N/A</v>
      </c>
      <c r="Q43" s="67" t="e">
        <f>IF(ISBLANK('Precision '!R12),NA(),'Precision '!R12)</f>
        <v>#N/A</v>
      </c>
      <c r="R43" s="67" t="e">
        <f>IF(ISBLANK('Precision '!S12),NA(),'Precision '!S12)</f>
        <v>#N/A</v>
      </c>
      <c r="S43" s="67" t="e">
        <f>IF(ISBLANK('Precision '!T12),NA(),'Precision '!T12)</f>
        <v>#N/A</v>
      </c>
      <c r="T43" s="67" t="e">
        <f>IF(ISBLANK('Precision '!U12),NA(),'Precision '!U12)</f>
        <v>#N/A</v>
      </c>
      <c r="U43" s="67" t="e">
        <f>IF(ISBLANK('Precision '!V12),NA(),'Precision '!V12)</f>
        <v>#N/A</v>
      </c>
      <c r="V43" s="67" t="e">
        <f>IF(ISBLANK('Precision '!W12),NA(),'Precision '!W12)</f>
        <v>#N/A</v>
      </c>
      <c r="Y43" s="42"/>
      <c r="Z43" s="68"/>
    </row>
    <row r="44" spans="3:30" x14ac:dyDescent="0.2">
      <c r="C44" s="67" t="e">
        <f>IF(ISBLANK('Precision '!D13),NA(),'Precision '!D13)</f>
        <v>#N/A</v>
      </c>
      <c r="D44" s="67" t="e">
        <f>IF(ISBLANK('Precision '!E13),NA(),'Precision '!E13)</f>
        <v>#N/A</v>
      </c>
      <c r="E44" s="67" t="e">
        <f>IF(ISBLANK('Precision '!F13),NA(),'Precision '!F13)</f>
        <v>#N/A</v>
      </c>
      <c r="F44" s="67" t="e">
        <f>IF(ISBLANK('Precision '!G13),NA(),'Precision '!G13)</f>
        <v>#N/A</v>
      </c>
      <c r="G44" s="67" t="e">
        <f>IF(ISBLANK('Precision '!H13),NA(),'Precision '!H13)</f>
        <v>#N/A</v>
      </c>
      <c r="H44" s="67" t="e">
        <f>IF(ISBLANK('Precision '!I13),NA(),'Precision '!I13)</f>
        <v>#N/A</v>
      </c>
      <c r="I44" s="67" t="e">
        <f>IF(ISBLANK('Precision '!J13),NA(),'Precision '!J13)</f>
        <v>#N/A</v>
      </c>
      <c r="J44" s="67" t="e">
        <f>IF(ISBLANK('Precision '!K13),NA(),'Precision '!K13)</f>
        <v>#N/A</v>
      </c>
      <c r="K44" s="67" t="e">
        <f>IF(ISBLANK('Precision '!L13),NA(),'Precision '!L13)</f>
        <v>#N/A</v>
      </c>
      <c r="L44" s="67" t="e">
        <f>IF(ISBLANK('Precision '!M13),NA(),'Precision '!M13)</f>
        <v>#N/A</v>
      </c>
      <c r="M44" s="145" t="e">
        <f>IF(ISBLANK('Precision '!N13),NA(),'Precision '!N13)</f>
        <v>#N/A</v>
      </c>
      <c r="N44" s="67" t="e">
        <f>IF(ISBLANK('Precision '!O13),NA(),'Precision '!O13)</f>
        <v>#N/A</v>
      </c>
      <c r="O44" s="67" t="e">
        <f>IF(ISBLANK('Precision '!P13),NA(),'Precision '!P13)</f>
        <v>#N/A</v>
      </c>
      <c r="P44" s="67" t="e">
        <f>IF(ISBLANK('Precision '!Q13),NA(),'Precision '!Q13)</f>
        <v>#N/A</v>
      </c>
      <c r="Q44" s="67" t="e">
        <f>IF(ISBLANK('Precision '!R13),NA(),'Precision '!R13)</f>
        <v>#N/A</v>
      </c>
      <c r="R44" s="67" t="e">
        <f>IF(ISBLANK('Precision '!S13),NA(),'Precision '!S13)</f>
        <v>#N/A</v>
      </c>
      <c r="S44" s="67" t="e">
        <f>IF(ISBLANK('Precision '!T13),NA(),'Precision '!T13)</f>
        <v>#N/A</v>
      </c>
      <c r="T44" s="67" t="e">
        <f>IF(ISBLANK('Precision '!U13),NA(),'Precision '!U13)</f>
        <v>#N/A</v>
      </c>
      <c r="U44" s="67" t="e">
        <f>IF(ISBLANK('Precision '!V13),NA(),'Precision '!V13)</f>
        <v>#N/A</v>
      </c>
      <c r="V44" s="67" t="e">
        <f>IF(ISBLANK('Precision '!W13),NA(),'Precision '!W13)</f>
        <v>#N/A</v>
      </c>
      <c r="X44" s="42"/>
      <c r="Y44" s="68"/>
    </row>
    <row r="45" spans="3:30" x14ac:dyDescent="0.2">
      <c r="C45" s="67" t="e">
        <f>IF(ISBLANK('Precision '!D14),NA(),'Precision '!D14)</f>
        <v>#N/A</v>
      </c>
      <c r="D45" s="67" t="e">
        <f>IF(ISBLANK('Precision '!E14),NA(),'Precision '!E14)</f>
        <v>#N/A</v>
      </c>
      <c r="E45" s="67" t="e">
        <f>IF(ISBLANK('Precision '!F14),NA(),'Precision '!F14)</f>
        <v>#N/A</v>
      </c>
      <c r="F45" s="67" t="e">
        <f>IF(ISBLANK('Precision '!G14),NA(),'Precision '!G14)</f>
        <v>#N/A</v>
      </c>
      <c r="G45" s="67" t="e">
        <f>IF(ISBLANK('Precision '!H14),NA(),'Precision '!H14)</f>
        <v>#N/A</v>
      </c>
      <c r="H45" s="67" t="e">
        <f>IF(ISBLANK('Precision '!I14),NA(),'Precision '!I14)</f>
        <v>#N/A</v>
      </c>
      <c r="I45" s="67" t="e">
        <f>IF(ISBLANK('Precision '!J14),NA(),'Precision '!J14)</f>
        <v>#N/A</v>
      </c>
      <c r="J45" s="67" t="e">
        <f>IF(ISBLANK('Precision '!K14),NA(),'Precision '!K14)</f>
        <v>#N/A</v>
      </c>
      <c r="K45" s="67" t="e">
        <f>IF(ISBLANK('Precision '!L14),NA(),'Precision '!L14)</f>
        <v>#N/A</v>
      </c>
      <c r="L45" s="67" t="e">
        <f>IF(ISBLANK('Precision '!M14),NA(),'Precision '!M14)</f>
        <v>#N/A</v>
      </c>
      <c r="M45" s="145" t="e">
        <f>IF(ISBLANK('Precision '!N14),NA(),'Precision '!N14)</f>
        <v>#N/A</v>
      </c>
      <c r="N45" s="67" t="e">
        <f>IF(ISBLANK('Precision '!O14),NA(),'Precision '!O14)</f>
        <v>#N/A</v>
      </c>
      <c r="O45" s="67" t="e">
        <f>IF(ISBLANK('Precision '!P14),NA(),'Precision '!P14)</f>
        <v>#N/A</v>
      </c>
      <c r="P45" s="67" t="e">
        <f>IF(ISBLANK('Precision '!Q14),NA(),'Precision '!Q14)</f>
        <v>#N/A</v>
      </c>
      <c r="Q45" s="67" t="e">
        <f>IF(ISBLANK('Precision '!R14),NA(),'Precision '!R14)</f>
        <v>#N/A</v>
      </c>
      <c r="R45" s="67" t="e">
        <f>IF(ISBLANK('Precision '!S14),NA(),'Precision '!S14)</f>
        <v>#N/A</v>
      </c>
      <c r="S45" s="67" t="e">
        <f>IF(ISBLANK('Precision '!T14),NA(),'Precision '!T14)</f>
        <v>#N/A</v>
      </c>
      <c r="T45" s="67" t="e">
        <f>IF(ISBLANK('Precision '!U14),NA(),'Precision '!U14)</f>
        <v>#N/A</v>
      </c>
      <c r="U45" s="67" t="e">
        <f>IF(ISBLANK('Precision '!V14),NA(),'Precision '!V14)</f>
        <v>#N/A</v>
      </c>
      <c r="V45" s="67" t="e">
        <f>IF(ISBLANK('Precision '!W14),NA(),'Precision '!W14)</f>
        <v>#N/A</v>
      </c>
      <c r="X45" s="42"/>
      <c r="Y45" s="42"/>
    </row>
    <row r="46" spans="3:30" x14ac:dyDescent="0.2">
      <c r="C46" s="67" t="e">
        <f>IF(ISBLANK('Precision '!D15),NA(),'Precision '!D15)</f>
        <v>#N/A</v>
      </c>
      <c r="D46" s="67" t="e">
        <f>IF(ISBLANK('Precision '!E15),NA(),'Precision '!E15)</f>
        <v>#N/A</v>
      </c>
      <c r="E46" s="67" t="e">
        <f>IF(ISBLANK('Precision '!F15),NA(),'Precision '!F15)</f>
        <v>#N/A</v>
      </c>
      <c r="F46" s="67" t="e">
        <f>IF(ISBLANK('Precision '!G15),NA(),'Precision '!G15)</f>
        <v>#N/A</v>
      </c>
      <c r="G46" s="67" t="e">
        <f>IF(ISBLANK('Precision '!H15),NA(),'Precision '!H15)</f>
        <v>#N/A</v>
      </c>
      <c r="H46" s="67" t="e">
        <f>IF(ISBLANK('Precision '!I15),NA(),'Precision '!I15)</f>
        <v>#N/A</v>
      </c>
      <c r="I46" s="67" t="e">
        <f>IF(ISBLANK('Precision '!J15),NA(),'Precision '!J15)</f>
        <v>#N/A</v>
      </c>
      <c r="J46" s="67" t="e">
        <f>IF(ISBLANK('Precision '!K15),NA(),'Precision '!K15)</f>
        <v>#N/A</v>
      </c>
      <c r="K46" s="67" t="e">
        <f>IF(ISBLANK('Precision '!L15),NA(),'Precision '!L15)</f>
        <v>#N/A</v>
      </c>
      <c r="L46" s="67" t="e">
        <f>IF(ISBLANK('Precision '!M15),NA(),'Precision '!M15)</f>
        <v>#N/A</v>
      </c>
      <c r="M46" s="145" t="e">
        <f>IF(ISBLANK('Precision '!N15),NA(),'Precision '!N15)</f>
        <v>#N/A</v>
      </c>
      <c r="N46" s="67" t="e">
        <f>IF(ISBLANK('Precision '!O15),NA(),'Precision '!O15)</f>
        <v>#N/A</v>
      </c>
      <c r="O46" s="67" t="e">
        <f>IF(ISBLANK('Precision '!P15),NA(),'Precision '!P15)</f>
        <v>#N/A</v>
      </c>
      <c r="P46" s="67" t="e">
        <f>IF(ISBLANK('Precision '!Q15),NA(),'Precision '!Q15)</f>
        <v>#N/A</v>
      </c>
      <c r="Q46" s="67" t="e">
        <f>IF(ISBLANK('Precision '!R15),NA(),'Precision '!R15)</f>
        <v>#N/A</v>
      </c>
      <c r="R46" s="67" t="e">
        <f>IF(ISBLANK('Precision '!S15),NA(),'Precision '!S15)</f>
        <v>#N/A</v>
      </c>
      <c r="S46" s="67" t="e">
        <f>IF(ISBLANK('Precision '!T15),NA(),'Precision '!T15)</f>
        <v>#N/A</v>
      </c>
      <c r="T46" s="67" t="e">
        <f>IF(ISBLANK('Precision '!U15),NA(),'Precision '!U15)</f>
        <v>#N/A</v>
      </c>
      <c r="U46" s="67" t="e">
        <f>IF(ISBLANK('Precision '!V15),NA(),'Precision '!V15)</f>
        <v>#N/A</v>
      </c>
      <c r="V46" s="67" t="e">
        <f>IF(ISBLANK('Precision '!W15),NA(),'Precision '!W15)</f>
        <v>#N/A</v>
      </c>
      <c r="X46" s="42"/>
      <c r="Y46" s="42"/>
    </row>
    <row r="47" spans="3:30" x14ac:dyDescent="0.2">
      <c r="C47" s="67" t="e">
        <f>IF(ISBLANK('Precision '!D16),NA(),'Precision '!D16)</f>
        <v>#N/A</v>
      </c>
      <c r="D47" s="67" t="e">
        <f>IF(ISBLANK('Precision '!E16),NA(),'Precision '!E16)</f>
        <v>#N/A</v>
      </c>
      <c r="E47" s="67" t="e">
        <f>IF(ISBLANK('Precision '!F16),NA(),'Precision '!F16)</f>
        <v>#N/A</v>
      </c>
      <c r="F47" s="67" t="e">
        <f>IF(ISBLANK('Precision '!G16),NA(),'Precision '!G16)</f>
        <v>#N/A</v>
      </c>
      <c r="G47" s="67" t="e">
        <f>IF(ISBLANK('Precision '!H16),NA(),'Precision '!H16)</f>
        <v>#N/A</v>
      </c>
      <c r="H47" s="67" t="e">
        <f>IF(ISBLANK('Precision '!I16),NA(),'Precision '!I16)</f>
        <v>#N/A</v>
      </c>
      <c r="I47" s="67" t="e">
        <f>IF(ISBLANK('Precision '!J16),NA(),'Precision '!J16)</f>
        <v>#N/A</v>
      </c>
      <c r="J47" s="67" t="e">
        <f>IF(ISBLANK('Precision '!K16),NA(),'Precision '!K16)</f>
        <v>#N/A</v>
      </c>
      <c r="K47" s="67" t="e">
        <f>IF(ISBLANK('Precision '!L16),NA(),'Precision '!L16)</f>
        <v>#N/A</v>
      </c>
      <c r="L47" s="67" t="e">
        <f>IF(ISBLANK('Precision '!M16),NA(),'Precision '!M16)</f>
        <v>#N/A</v>
      </c>
      <c r="M47" s="145" t="e">
        <f>IF(ISBLANK('Precision '!N16),NA(),'Precision '!N16)</f>
        <v>#N/A</v>
      </c>
      <c r="N47" s="67" t="e">
        <f>IF(ISBLANK('Precision '!O16),NA(),'Precision '!O16)</f>
        <v>#N/A</v>
      </c>
      <c r="O47" s="67" t="e">
        <f>IF(ISBLANK('Precision '!P16),NA(),'Precision '!P16)</f>
        <v>#N/A</v>
      </c>
      <c r="P47" s="67" t="e">
        <f>IF(ISBLANK('Precision '!Q16),NA(),'Precision '!Q16)</f>
        <v>#N/A</v>
      </c>
      <c r="Q47" s="67" t="e">
        <f>IF(ISBLANK('Precision '!R16),NA(),'Precision '!R16)</f>
        <v>#N/A</v>
      </c>
      <c r="R47" s="67" t="e">
        <f>IF(ISBLANK('Precision '!S16),NA(),'Precision '!S16)</f>
        <v>#N/A</v>
      </c>
      <c r="S47" s="67" t="e">
        <f>IF(ISBLANK('Precision '!T16),NA(),'Precision '!T16)</f>
        <v>#N/A</v>
      </c>
      <c r="T47" s="67" t="e">
        <f>IF(ISBLANK('Precision '!U16),NA(),'Precision '!U16)</f>
        <v>#N/A</v>
      </c>
      <c r="U47" s="67" t="e">
        <f>IF(ISBLANK('Precision '!V16),NA(),'Precision '!V16)</f>
        <v>#N/A</v>
      </c>
      <c r="V47" s="67" t="e">
        <f>IF(ISBLANK('Precision '!W16),NA(),'Precision '!W16)</f>
        <v>#N/A</v>
      </c>
      <c r="X47" s="42"/>
      <c r="Y47" s="42"/>
    </row>
    <row r="48" spans="3:30" x14ac:dyDescent="0.2">
      <c r="C48" s="67" t="e">
        <f>IF(ISBLANK('Precision '!D17),NA(),'Precision '!D17)</f>
        <v>#N/A</v>
      </c>
      <c r="D48" s="67" t="e">
        <f>IF(ISBLANK('Precision '!E17),NA(),'Precision '!E17)</f>
        <v>#N/A</v>
      </c>
      <c r="E48" s="67" t="e">
        <f>IF(ISBLANK('Precision '!F17),NA(),'Precision '!F17)</f>
        <v>#N/A</v>
      </c>
      <c r="F48" s="67" t="e">
        <f>IF(ISBLANK('Precision '!G17),NA(),'Precision '!G17)</f>
        <v>#N/A</v>
      </c>
      <c r="G48" s="67" t="e">
        <f>IF(ISBLANK('Precision '!H17),NA(),'Precision '!H17)</f>
        <v>#N/A</v>
      </c>
      <c r="H48" s="67" t="e">
        <f>IF(ISBLANK('Precision '!I17),NA(),'Precision '!I17)</f>
        <v>#N/A</v>
      </c>
      <c r="I48" s="67" t="e">
        <f>IF(ISBLANK('Precision '!J17),NA(),'Precision '!J17)</f>
        <v>#N/A</v>
      </c>
      <c r="J48" s="67" t="e">
        <f>IF(ISBLANK('Precision '!K17),NA(),'Precision '!K17)</f>
        <v>#N/A</v>
      </c>
      <c r="K48" s="67" t="e">
        <f>IF(ISBLANK('Precision '!L17),NA(),'Precision '!L17)</f>
        <v>#N/A</v>
      </c>
      <c r="L48" s="67" t="e">
        <f>IF(ISBLANK('Precision '!M17),NA(),'Precision '!M17)</f>
        <v>#N/A</v>
      </c>
      <c r="M48" s="145" t="e">
        <f>IF(ISBLANK('Precision '!N17),NA(),'Precision '!N17)</f>
        <v>#N/A</v>
      </c>
      <c r="N48" s="67" t="e">
        <f>IF(ISBLANK('Precision '!O17),NA(),'Precision '!O17)</f>
        <v>#N/A</v>
      </c>
      <c r="O48" s="67" t="e">
        <f>IF(ISBLANK('Precision '!P17),NA(),'Precision '!P17)</f>
        <v>#N/A</v>
      </c>
      <c r="P48" s="67" t="e">
        <f>IF(ISBLANK('Precision '!Q17),NA(),'Precision '!Q17)</f>
        <v>#N/A</v>
      </c>
      <c r="Q48" s="67" t="e">
        <f>IF(ISBLANK('Precision '!R17),NA(),'Precision '!R17)</f>
        <v>#N/A</v>
      </c>
      <c r="R48" s="67" t="e">
        <f>IF(ISBLANK('Precision '!S17),NA(),'Precision '!S17)</f>
        <v>#N/A</v>
      </c>
      <c r="S48" s="67" t="e">
        <f>IF(ISBLANK('Precision '!T17),NA(),'Precision '!T17)</f>
        <v>#N/A</v>
      </c>
      <c r="T48" s="67" t="e">
        <f>IF(ISBLANK('Precision '!U17),NA(),'Precision '!U17)</f>
        <v>#N/A</v>
      </c>
      <c r="U48" s="67" t="e">
        <f>IF(ISBLANK('Precision '!V17),NA(),'Precision '!V17)</f>
        <v>#N/A</v>
      </c>
      <c r="V48" s="67" t="e">
        <f>IF(ISBLANK('Precision '!W17),NA(),'Precision '!W17)</f>
        <v>#N/A</v>
      </c>
      <c r="X48" s="42"/>
      <c r="Y48" s="42"/>
    </row>
    <row r="49" spans="3:25" x14ac:dyDescent="0.2">
      <c r="C49" s="67" t="e">
        <f>IF(ISBLANK('Precision '!D18),NA(),'Precision '!D18)</f>
        <v>#N/A</v>
      </c>
      <c r="D49" s="67" t="e">
        <f>IF(ISBLANK('Precision '!E18),NA(),'Precision '!E18)</f>
        <v>#N/A</v>
      </c>
      <c r="E49" s="67" t="e">
        <f>IF(ISBLANK('Precision '!F18),NA(),'Precision '!F18)</f>
        <v>#N/A</v>
      </c>
      <c r="F49" s="67" t="e">
        <f>IF(ISBLANK('Precision '!G18),NA(),'Precision '!G18)</f>
        <v>#N/A</v>
      </c>
      <c r="G49" s="67" t="e">
        <f>IF(ISBLANK('Precision '!H18),NA(),'Precision '!H18)</f>
        <v>#N/A</v>
      </c>
      <c r="H49" s="67" t="e">
        <f>IF(ISBLANK('Precision '!I18),NA(),'Precision '!I18)</f>
        <v>#N/A</v>
      </c>
      <c r="I49" s="67" t="e">
        <f>IF(ISBLANK('Precision '!J18),NA(),'Precision '!J18)</f>
        <v>#N/A</v>
      </c>
      <c r="J49" s="67" t="e">
        <f>IF(ISBLANK('Precision '!K18),NA(),'Precision '!K18)</f>
        <v>#N/A</v>
      </c>
      <c r="K49" s="67" t="e">
        <f>IF(ISBLANK('Precision '!L18),NA(),'Precision '!L18)</f>
        <v>#N/A</v>
      </c>
      <c r="L49" s="67" t="e">
        <f>IF(ISBLANK('Precision '!M18),NA(),'Precision '!M18)</f>
        <v>#N/A</v>
      </c>
      <c r="M49" s="145" t="e">
        <f>IF(ISBLANK('Precision '!N18),NA(),'Precision '!N18)</f>
        <v>#N/A</v>
      </c>
      <c r="N49" s="67" t="e">
        <f>IF(ISBLANK('Precision '!O18),NA(),'Precision '!O18)</f>
        <v>#N/A</v>
      </c>
      <c r="O49" s="67" t="e">
        <f>IF(ISBLANK('Precision '!P18),NA(),'Precision '!P18)</f>
        <v>#N/A</v>
      </c>
      <c r="P49" s="67" t="e">
        <f>IF(ISBLANK('Precision '!Q18),NA(),'Precision '!Q18)</f>
        <v>#N/A</v>
      </c>
      <c r="Q49" s="67" t="e">
        <f>IF(ISBLANK('Precision '!R18),NA(),'Precision '!R18)</f>
        <v>#N/A</v>
      </c>
      <c r="R49" s="67" t="e">
        <f>IF(ISBLANK('Precision '!S18),NA(),'Precision '!S18)</f>
        <v>#N/A</v>
      </c>
      <c r="S49" s="67" t="e">
        <f>IF(ISBLANK('Precision '!T18),NA(),'Precision '!T18)</f>
        <v>#N/A</v>
      </c>
      <c r="T49" s="67" t="e">
        <f>IF(ISBLANK('Precision '!U18),NA(),'Precision '!U18)</f>
        <v>#N/A</v>
      </c>
      <c r="U49" s="67" t="e">
        <f>IF(ISBLANK('Precision '!V18),NA(),'Precision '!V18)</f>
        <v>#N/A</v>
      </c>
      <c r="V49" s="67" t="e">
        <f>IF(ISBLANK('Precision '!W18),NA(),'Precision '!W18)</f>
        <v>#N/A</v>
      </c>
      <c r="X49" s="42"/>
      <c r="Y49" s="42"/>
    </row>
    <row r="50" spans="3:25" x14ac:dyDescent="0.2">
      <c r="C50" s="67" t="e">
        <f>IF(ISBLANK('Precision '!D19),NA(),'Precision '!D19)</f>
        <v>#N/A</v>
      </c>
      <c r="D50" s="67" t="e">
        <f>IF(ISBLANK('Precision '!E19),NA(),'Precision '!E19)</f>
        <v>#N/A</v>
      </c>
      <c r="E50" s="67" t="e">
        <f>IF(ISBLANK('Precision '!F19),NA(),'Precision '!F19)</f>
        <v>#N/A</v>
      </c>
      <c r="F50" s="67" t="e">
        <f>IF(ISBLANK('Precision '!G19),NA(),'Precision '!G19)</f>
        <v>#N/A</v>
      </c>
      <c r="G50" s="67" t="e">
        <f>IF(ISBLANK('Precision '!H19),NA(),'Precision '!H19)</f>
        <v>#N/A</v>
      </c>
      <c r="H50" s="67" t="e">
        <f>IF(ISBLANK('Precision '!I19),NA(),'Precision '!I19)</f>
        <v>#N/A</v>
      </c>
      <c r="I50" s="67" t="e">
        <f>IF(ISBLANK('Precision '!J19),NA(),'Precision '!J19)</f>
        <v>#N/A</v>
      </c>
      <c r="J50" s="67" t="e">
        <f>IF(ISBLANK('Precision '!K19),NA(),'Precision '!K19)</f>
        <v>#N/A</v>
      </c>
      <c r="K50" s="67" t="e">
        <f>IF(ISBLANK('Precision '!L19),NA(),'Precision '!L19)</f>
        <v>#N/A</v>
      </c>
      <c r="L50" s="67" t="e">
        <f>IF(ISBLANK('Precision '!M19),NA(),'Precision '!M19)</f>
        <v>#N/A</v>
      </c>
      <c r="M50" s="145" t="e">
        <f>IF(ISBLANK('Precision '!N19),NA(),'Precision '!N19)</f>
        <v>#N/A</v>
      </c>
      <c r="N50" s="67" t="e">
        <f>IF(ISBLANK('Precision '!O19),NA(),'Precision '!O19)</f>
        <v>#N/A</v>
      </c>
      <c r="O50" s="67" t="e">
        <f>IF(ISBLANK('Precision '!P19),NA(),'Precision '!P19)</f>
        <v>#N/A</v>
      </c>
      <c r="P50" s="67" t="e">
        <f>IF(ISBLANK('Precision '!Q19),NA(),'Precision '!Q19)</f>
        <v>#N/A</v>
      </c>
      <c r="Q50" s="67" t="e">
        <f>IF(ISBLANK('Precision '!R19),NA(),'Precision '!R19)</f>
        <v>#N/A</v>
      </c>
      <c r="R50" s="67" t="e">
        <f>IF(ISBLANK('Precision '!S19),NA(),'Precision '!S19)</f>
        <v>#N/A</v>
      </c>
      <c r="S50" s="67" t="e">
        <f>IF(ISBLANK('Precision '!T19),NA(),'Precision '!T19)</f>
        <v>#N/A</v>
      </c>
      <c r="T50" s="67" t="e">
        <f>IF(ISBLANK('Precision '!U19),NA(),'Precision '!U19)</f>
        <v>#N/A</v>
      </c>
      <c r="U50" s="67" t="e">
        <f>IF(ISBLANK('Precision '!V19),NA(),'Precision '!V19)</f>
        <v>#N/A</v>
      </c>
      <c r="V50" s="67" t="e">
        <f>IF(ISBLANK('Precision '!W19),NA(),'Precision '!W19)</f>
        <v>#N/A</v>
      </c>
      <c r="X50" s="42"/>
      <c r="Y50" s="42"/>
    </row>
    <row r="51" spans="3:25" x14ac:dyDescent="0.2">
      <c r="L51" s="42"/>
      <c r="M51" s="139"/>
      <c r="X51" s="42"/>
      <c r="Y51" s="42"/>
    </row>
    <row r="52" spans="3:25" x14ac:dyDescent="0.2">
      <c r="C52" s="67" t="e">
        <f>IF(OR(ISBLANK('Precision '!$I$46),COUNT('Precision '!$D$21:$M$21)&lt;'P Calc'!$N$13,'Precision '!$I$49="Y"),NA(),'P Calc'!$N$13+0.1)</f>
        <v>#N/A</v>
      </c>
      <c r="D52" s="97" t="e">
        <f>IF(OR(ISBLANK('Precision '!$I$46),COUNT('Precision '!$D$21:$M$21)&lt;'P Calc'!$N$14,'Precision '!$I$49="Y"),NA(),'P Calc'!$N$14+0.1)</f>
        <v>#N/A</v>
      </c>
      <c r="E52" s="97" t="e">
        <f>IF(OR(ISBLANK('Precision '!$I$46),COUNT('Precision '!$D$21:$M$21)&lt;'P Calc'!$N$15,'Precision '!$I$49="Y"),NA(),'P Calc'!$N$15+0.1)</f>
        <v>#N/A</v>
      </c>
      <c r="F52" s="97" t="e">
        <f>IF(OR(ISBLANK('Precision '!$I$46),COUNT('Precision '!$D$21:$M$21)&lt;'P Calc'!$N$16,'Precision '!$I$49="Y"),NA(),'P Calc'!$N$16+0.1)</f>
        <v>#N/A</v>
      </c>
      <c r="G52" s="97" t="e">
        <f>IF(OR(ISBLANK('Precision '!$I$46),COUNT('Precision '!$D$21:$M$21)&lt;'P Calc'!$N$17,'Precision '!$I$49="Y"),NA(),'P Calc'!$N$17+0.1)</f>
        <v>#N/A</v>
      </c>
      <c r="H52" s="97" t="e">
        <f>IF(OR(ISBLANK('Precision '!$I$46),COUNT('Precision '!$D$21:$M$21)&lt;'P Calc'!$N$18,'Precision '!$I$49="Y"),NA(),'P Calc'!$N$18+0.1)</f>
        <v>#N/A</v>
      </c>
      <c r="I52" s="97" t="e">
        <f>IF(OR(ISBLANK('Precision '!$I$46),COUNT('Precision '!$D$21:$M$21)&lt;'P Calc'!$N$19,'Precision '!$I$49="Y"),NA(),'P Calc'!$N$19+0.1)</f>
        <v>#N/A</v>
      </c>
      <c r="J52" s="97" t="e">
        <f>IF(OR(ISBLANK('Precision '!$I$46),COUNT('Precision '!$D$21:$M$21)&lt;'P Calc'!$N$20,'Precision '!$I$49="Y"),NA(),'P Calc'!$N$20+0.1)</f>
        <v>#N/A</v>
      </c>
      <c r="K52" s="97" t="e">
        <f>IF(OR(ISBLANK('Precision '!$I$46),COUNT('Precision '!$D$21:$M$21)&lt;'P Calc'!$N$21,'Precision '!$I$49="Y"),NA(),'P Calc'!$N$21+0.1)</f>
        <v>#N/A</v>
      </c>
      <c r="L52" s="97" t="e">
        <f>IF(OR(ISBLANK('Precision '!$I$46),COUNT('Precision '!$D$21:$M$21)&lt;'P Calc'!$N$22,'Precision '!$I$49="Y"),NA(),'P Calc'!$N$22+0.1)</f>
        <v>#N/A</v>
      </c>
      <c r="M52" s="139" t="e">
        <f>IF(OR(ISBLANK('Precision '!$T$46),COUNT('Precision '!$N$21:$W$21)&lt;'P Calc'!$N$23,'Precision '!$T$49="Y"),NA(),'P Calc'!$N$23+0.1)</f>
        <v>#N/A</v>
      </c>
      <c r="N52" s="45" t="e">
        <f>IF(OR(ISBLANK('Precision '!$T$46),COUNT('Precision '!$N$21:$W$21)&lt;'P Calc'!$N$24,'Precision '!$T$49="Y"),NA(),'P Calc'!$N$24+0.1)</f>
        <v>#N/A</v>
      </c>
      <c r="O52" s="45" t="e">
        <f>IF(OR(ISBLANK('Precision '!$T$46),COUNT('Precision '!$N$21:$W$21)&lt;'P Calc'!$N$25,'Precision '!$T$49="Y"),NA(),'P Calc'!$N$25+0.1)</f>
        <v>#N/A</v>
      </c>
      <c r="P52" s="45" t="e">
        <f>IF(OR(ISBLANK('Precision '!$T$46),COUNT('Precision '!$N$21:$W$21)&lt;'P Calc'!$N$26,'Precision '!$T$49="Y"),NA(),'P Calc'!$N$26+0.1)</f>
        <v>#N/A</v>
      </c>
      <c r="Q52" s="45" t="e">
        <f>IF(OR(ISBLANK('Precision '!$T$46),COUNT('Precision '!$N$21:$W$21)&lt;'P Calc'!$N$27,'Precision '!$T$49="Y"),NA(),'P Calc'!$N$27+0.1)</f>
        <v>#N/A</v>
      </c>
      <c r="R52" s="45" t="e">
        <f>IF(OR(ISBLANK('Precision '!$T$46),COUNT('Precision '!$N$21:$W$21)&lt;'P Calc'!$N$28,'Precision '!$T$49="Y"),NA(),'P Calc'!$N$28+0.1)</f>
        <v>#N/A</v>
      </c>
      <c r="S52" s="45" t="e">
        <f>IF(OR(ISBLANK('Precision '!$T$46),COUNT('Precision '!$N$21:$W$21)&lt;'P Calc'!$N$29,'Precision '!$T$49="Y"),NA(),'P Calc'!$N$29+0.1)</f>
        <v>#N/A</v>
      </c>
      <c r="T52" s="45" t="e">
        <f>IF(OR(ISBLANK('Precision '!$T$46),COUNT('Precision '!$N$21:$W$21)&lt;'P Calc'!$N$30,'Precision '!$T$49="Y"),NA(),'P Calc'!$N$30+0.1)</f>
        <v>#N/A</v>
      </c>
      <c r="U52" s="45" t="e">
        <f>IF(OR(ISBLANK('Precision '!$T$46),COUNT('Precision '!$N$21:$W$21)&lt;'P Calc'!$N$31,'Precision '!$T$49="Y"),NA(),'P Calc'!$N$31+0.1)</f>
        <v>#N/A</v>
      </c>
      <c r="V52" s="45" t="e">
        <f>IF(OR(ISBLANK('Precision '!$T$46),COUNT('Precision '!$N$21:$W$21)&lt;'P Calc'!$N$32,'Precision '!$T$49="Y"),NA(),'P Calc'!$N$32+0.1)</f>
        <v>#N/A</v>
      </c>
      <c r="X52" s="42"/>
      <c r="Y52" s="42"/>
    </row>
    <row r="53" spans="3:25" x14ac:dyDescent="0.2">
      <c r="C53" s="67" t="e">
        <f>IF(OR(ISBLANK('Precision '!$I$46),COUNT('Precision '!$D$21:$M$21)&lt;'P Calc'!$N$13,'Precision '!$I$49="Y"),NA(),'P Calc'!$N$13+0.1)</f>
        <v>#N/A</v>
      </c>
      <c r="D53" s="97" t="e">
        <f>IF(OR(ISBLANK('Precision '!$I$46),COUNT('Precision '!$D$21:$M$21)&lt;'P Calc'!$N$14,'Precision '!$I$49="Y"),NA(),'P Calc'!$N$14+0.1)</f>
        <v>#N/A</v>
      </c>
      <c r="E53" s="97" t="e">
        <f>IF(OR(ISBLANK('Precision '!$I$46),COUNT('Precision '!$D$21:$M$21)&lt;'P Calc'!$N$15,'Precision '!$I$49="Y"),NA(),'P Calc'!$N$15+0.1)</f>
        <v>#N/A</v>
      </c>
      <c r="F53" s="97" t="e">
        <f>IF(OR(ISBLANK('Precision '!$I$46),COUNT('Precision '!$D$21:$M$21)&lt;'P Calc'!$N$16,'Precision '!$I$49="Y"),NA(),'P Calc'!$N$16+0.1)</f>
        <v>#N/A</v>
      </c>
      <c r="G53" s="97" t="e">
        <f>IF(OR(ISBLANK('Precision '!$I$46),COUNT('Precision '!$D$21:$M$21)&lt;'P Calc'!$N$17,'Precision '!$I$49="Y"),NA(),'P Calc'!$N$17+0.1)</f>
        <v>#N/A</v>
      </c>
      <c r="H53" s="97" t="e">
        <f>IF(OR(ISBLANK('Precision '!$I$46),COUNT('Precision '!$D$21:$M$21)&lt;'P Calc'!$N$18,'Precision '!$I$49="Y"),NA(),'P Calc'!$N$18+0.1)</f>
        <v>#N/A</v>
      </c>
      <c r="I53" s="97" t="e">
        <f>IF(OR(ISBLANK('Precision '!$I$46),COUNT('Precision '!$D$21:$M$21)&lt;'P Calc'!$N$19,'Precision '!$I$49="Y"),NA(),'P Calc'!$N$19+0.1)</f>
        <v>#N/A</v>
      </c>
      <c r="J53" s="97" t="e">
        <f>IF(OR(ISBLANK('Precision '!$I$46),COUNT('Precision '!$D$21:$M$21)&lt;'P Calc'!$N$20,'Precision '!$I$49="Y"),NA(),'P Calc'!$N$20+0.1)</f>
        <v>#N/A</v>
      </c>
      <c r="K53" s="97" t="e">
        <f>IF(OR(ISBLANK('Precision '!$I$46),COUNT('Precision '!$D$21:$M$21)&lt;'P Calc'!$N$21,'Precision '!$I$49="Y"),NA(),'P Calc'!$N$21+0.1)</f>
        <v>#N/A</v>
      </c>
      <c r="L53" s="97" t="e">
        <f>IF(OR(ISBLANK('Precision '!$I$46),COUNT('Precision '!$D$21:$M$21)&lt;'P Calc'!$N$22,'Precision '!$I$49="Y"),NA(),'P Calc'!$N$22+0.1)</f>
        <v>#N/A</v>
      </c>
      <c r="M53" s="139" t="e">
        <f>IF(OR(ISBLANK('Precision '!$T$46),COUNT('Precision '!$N$21:$W$21)&lt;'P Calc'!$N$23,'Precision '!$T$49="Y"),NA(),'P Calc'!$N$23+0.1)</f>
        <v>#N/A</v>
      </c>
      <c r="N53" s="45" t="e">
        <f>IF(OR(ISBLANK('Precision '!$T$46),COUNT('Precision '!$N$21:$W$21)&lt;'P Calc'!$N$24,'Precision '!$T$49="Y"),NA(),'P Calc'!$N$24+0.1)</f>
        <v>#N/A</v>
      </c>
      <c r="O53" s="45" t="e">
        <f>IF(OR(ISBLANK('Precision '!$T$46),COUNT('Precision '!$N$21:$W$21)&lt;'P Calc'!$N$25,'Precision '!$T$49="Y"),NA(),'P Calc'!$N$25+0.1)</f>
        <v>#N/A</v>
      </c>
      <c r="P53" s="45" t="e">
        <f>IF(OR(ISBLANK('Precision '!$T$46),COUNT('Precision '!$N$21:$W$21)&lt;'P Calc'!$N$26,'Precision '!$T$49="Y"),NA(),'P Calc'!$N$26+0.1)</f>
        <v>#N/A</v>
      </c>
      <c r="Q53" s="45" t="e">
        <f>IF(OR(ISBLANK('Precision '!$T$46),COUNT('Precision '!$N$21:$W$21)&lt;'P Calc'!$N$27,'Precision '!$T$49="Y"),NA(),'P Calc'!$N$27+0.1)</f>
        <v>#N/A</v>
      </c>
      <c r="R53" s="45" t="e">
        <f>IF(OR(ISBLANK('Precision '!$T$46),COUNT('Precision '!$N$21:$W$21)&lt;'P Calc'!$N$28,'Precision '!$T$49="Y"),NA(),'P Calc'!$N$28+0.1)</f>
        <v>#N/A</v>
      </c>
      <c r="S53" s="45" t="e">
        <f>IF(OR(ISBLANK('Precision '!$T$46),COUNT('Precision '!$N$21:$W$21)&lt;'P Calc'!$N$29,'Precision '!$T$49="Y"),NA(),'P Calc'!$N$29+0.1)</f>
        <v>#N/A</v>
      </c>
      <c r="T53" s="45" t="e">
        <f>IF(OR(ISBLANK('Precision '!$T$46),COUNT('Precision '!$N$21:$W$21)&lt;'P Calc'!$N$30,'Precision '!$T$49="Y"),NA(),'P Calc'!$N$30+0.1)</f>
        <v>#N/A</v>
      </c>
      <c r="U53" s="45" t="e">
        <f>IF(OR(ISBLANK('Precision '!$T$46),COUNT('Precision '!$N$21:$W$21)&lt;'P Calc'!$N$31,'Precision '!$T$49="Y"),NA(),'P Calc'!$N$31+0.1)</f>
        <v>#N/A</v>
      </c>
      <c r="V53" s="45" t="e">
        <f>IF(OR(ISBLANK('Precision '!$T$46),COUNT('Precision '!$N$21:$W$21)&lt;'P Calc'!$N$32,'Precision '!$T$49="Y"),NA(),'P Calc'!$N$32+0.1)</f>
        <v>#N/A</v>
      </c>
      <c r="X53" s="42"/>
      <c r="Y53" s="42"/>
    </row>
    <row r="54" spans="3:25" x14ac:dyDescent="0.2">
      <c r="C54" s="67" t="e">
        <f>IF(OR(ISBLANK('Precision '!$I$46),COUNT('Precision '!$D$21:$M$21)&lt;'P Calc'!$N$13,'Precision '!$I$49="Y"),NA(),'P Calc'!$N$13+0.1)</f>
        <v>#N/A</v>
      </c>
      <c r="D54" s="97" t="e">
        <f>IF(OR(ISBLANK('Precision '!$I$46),COUNT('Precision '!$D$21:$M$21)&lt;'P Calc'!$N$14,'Precision '!$I$49="Y"),NA(),'P Calc'!$N$14+0.1)</f>
        <v>#N/A</v>
      </c>
      <c r="E54" s="97" t="e">
        <f>IF(OR(ISBLANK('Precision '!$I$46),COUNT('Precision '!$D$21:$M$21)&lt;'P Calc'!$N$15,'Precision '!$I$49="Y"),NA(),'P Calc'!$N$15+0.1)</f>
        <v>#N/A</v>
      </c>
      <c r="F54" s="97" t="e">
        <f>IF(OR(ISBLANK('Precision '!$I$46),COUNT('Precision '!$D$21:$M$21)&lt;'P Calc'!$N$16,'Precision '!$I$49="Y"),NA(),'P Calc'!$N$16+0.1)</f>
        <v>#N/A</v>
      </c>
      <c r="G54" s="97" t="e">
        <f>IF(OR(ISBLANK('Precision '!$I$46),COUNT('Precision '!$D$21:$M$21)&lt;'P Calc'!$N$17,'Precision '!$I$49="Y"),NA(),'P Calc'!$N$17+0.1)</f>
        <v>#N/A</v>
      </c>
      <c r="H54" s="97" t="e">
        <f>IF(OR(ISBLANK('Precision '!$I$46),COUNT('Precision '!$D$21:$M$21)&lt;'P Calc'!$N$18,'Precision '!$I$49="Y"),NA(),'P Calc'!$N$18+0.1)</f>
        <v>#N/A</v>
      </c>
      <c r="I54" s="97" t="e">
        <f>IF(OR(ISBLANK('Precision '!$I$46),COUNT('Precision '!$D$21:$M$21)&lt;'P Calc'!$N$19,'Precision '!$I$49="Y"),NA(),'P Calc'!$N$19+0.1)</f>
        <v>#N/A</v>
      </c>
      <c r="J54" s="97" t="e">
        <f>IF(OR(ISBLANK('Precision '!$I$46),COUNT('Precision '!$D$21:$M$21)&lt;'P Calc'!$N$20,'Precision '!$I$49="Y"),NA(),'P Calc'!$N$20+0.1)</f>
        <v>#N/A</v>
      </c>
      <c r="K54" s="97" t="e">
        <f>IF(OR(ISBLANK('Precision '!$I$46),COUNT('Precision '!$D$21:$M$21)&lt;'P Calc'!$N$21,'Precision '!$I$49="Y"),NA(),'P Calc'!$N$21+0.1)</f>
        <v>#N/A</v>
      </c>
      <c r="L54" s="97" t="e">
        <f>IF(OR(ISBLANK('Precision '!$I$46),COUNT('Precision '!$D$21:$M$21)&lt;'P Calc'!$N$22,'Precision '!$I$49="Y"),NA(),'P Calc'!$N$22+0.1)</f>
        <v>#N/A</v>
      </c>
      <c r="M54" s="139" t="e">
        <f>IF(OR(ISBLANK('Precision '!$T$46),COUNT('Precision '!$N$21:$W$21)&lt;'P Calc'!$N$23,'Precision '!$T$49="Y"),NA(),'P Calc'!$N$23+0.1)</f>
        <v>#N/A</v>
      </c>
      <c r="N54" s="45" t="e">
        <f>IF(OR(ISBLANK('Precision '!$T$46),COUNT('Precision '!$N$21:$W$21)&lt;'P Calc'!$N$24,'Precision '!$T$49="Y"),NA(),'P Calc'!$N$24+0.1)</f>
        <v>#N/A</v>
      </c>
      <c r="O54" s="45" t="e">
        <f>IF(OR(ISBLANK('Precision '!$T$46),COUNT('Precision '!$N$21:$W$21)&lt;'P Calc'!$N$25,'Precision '!$T$49="Y"),NA(),'P Calc'!$N$25+0.1)</f>
        <v>#N/A</v>
      </c>
      <c r="P54" s="45" t="e">
        <f>IF(OR(ISBLANK('Precision '!$T$46),COUNT('Precision '!$N$21:$W$21)&lt;'P Calc'!$N$26,'Precision '!$T$49="Y"),NA(),'P Calc'!$N$26+0.1)</f>
        <v>#N/A</v>
      </c>
      <c r="Q54" s="45" t="e">
        <f>IF(OR(ISBLANK('Precision '!$T$46),COUNT('Precision '!$N$21:$W$21)&lt;'P Calc'!$N$27,'Precision '!$T$49="Y"),NA(),'P Calc'!$N$27+0.1)</f>
        <v>#N/A</v>
      </c>
      <c r="R54" s="45" t="e">
        <f>IF(OR(ISBLANK('Precision '!$T$46),COUNT('Precision '!$N$21:$W$21)&lt;'P Calc'!$N$28,'Precision '!$T$49="Y"),NA(),'P Calc'!$N$28+0.1)</f>
        <v>#N/A</v>
      </c>
      <c r="S54" s="45" t="e">
        <f>IF(OR(ISBLANK('Precision '!$T$46),COUNT('Precision '!$N$21:$W$21)&lt;'P Calc'!$N$29,'Precision '!$T$49="Y"),NA(),'P Calc'!$N$29+0.1)</f>
        <v>#N/A</v>
      </c>
      <c r="T54" s="45" t="e">
        <f>IF(OR(ISBLANK('Precision '!$T$46),COUNT('Precision '!$N$21:$W$21)&lt;'P Calc'!$N$30,'Precision '!$T$49="Y"),NA(),'P Calc'!$N$30+0.1)</f>
        <v>#N/A</v>
      </c>
      <c r="U54" s="45" t="e">
        <f>IF(OR(ISBLANK('Precision '!$T$46),COUNT('Precision '!$N$21:$W$21)&lt;'P Calc'!$N$31,'Precision '!$T$49="Y"),NA(),'P Calc'!$N$31+0.1)</f>
        <v>#N/A</v>
      </c>
      <c r="V54" s="45" t="e">
        <f>IF(OR(ISBLANK('Precision '!$T$46),COUNT('Precision '!$N$21:$W$21)&lt;'P Calc'!$N$32,'Precision '!$T$49="Y"),NA(),'P Calc'!$N$32+0.1)</f>
        <v>#N/A</v>
      </c>
      <c r="X54" s="42"/>
      <c r="Y54" s="42"/>
    </row>
    <row r="55" spans="3:25" x14ac:dyDescent="0.2">
      <c r="C55" s="67" t="e">
        <f>IF(OR(ISBLANK('Precision '!$I$46),COUNT('Precision '!$D$21:$M$21)&lt;'P Calc'!$N$13,'Precision '!$I$49="Y"),NA(),'P Calc'!$N$13+0.1)</f>
        <v>#N/A</v>
      </c>
      <c r="D55" s="97" t="e">
        <f>IF(OR(ISBLANK('Precision '!$I$46),COUNT('Precision '!$D$21:$M$21)&lt;'P Calc'!$N$14,'Precision '!$I$49="Y"),NA(),'P Calc'!$N$14+0.1)</f>
        <v>#N/A</v>
      </c>
      <c r="E55" s="97" t="e">
        <f>IF(OR(ISBLANK('Precision '!$I$46),COUNT('Precision '!$D$21:$M$21)&lt;'P Calc'!$N$15,'Precision '!$I$49="Y"),NA(),'P Calc'!$N$15+0.1)</f>
        <v>#N/A</v>
      </c>
      <c r="F55" s="97" t="e">
        <f>IF(OR(ISBLANK('Precision '!$I$46),COUNT('Precision '!$D$21:$M$21)&lt;'P Calc'!$N$16,'Precision '!$I$49="Y"),NA(),'P Calc'!$N$16+0.1)</f>
        <v>#N/A</v>
      </c>
      <c r="G55" s="97" t="e">
        <f>IF(OR(ISBLANK('Precision '!$I$46),COUNT('Precision '!$D$21:$M$21)&lt;'P Calc'!$N$17,'Precision '!$I$49="Y"),NA(),'P Calc'!$N$17+0.1)</f>
        <v>#N/A</v>
      </c>
      <c r="H55" s="97" t="e">
        <f>IF(OR(ISBLANK('Precision '!$I$46),COUNT('Precision '!$D$21:$M$21)&lt;'P Calc'!$N$18,'Precision '!$I$49="Y"),NA(),'P Calc'!$N$18+0.1)</f>
        <v>#N/A</v>
      </c>
      <c r="I55" s="97" t="e">
        <f>IF(OR(ISBLANK('Precision '!$I$46),COUNT('Precision '!$D$21:$M$21)&lt;'P Calc'!$N$19,'Precision '!$I$49="Y"),NA(),'P Calc'!$N$19+0.1)</f>
        <v>#N/A</v>
      </c>
      <c r="J55" s="97" t="e">
        <f>IF(OR(ISBLANK('Precision '!$I$46),COUNT('Precision '!$D$21:$M$21)&lt;'P Calc'!$N$20,'Precision '!$I$49="Y"),NA(),'P Calc'!$N$20+0.1)</f>
        <v>#N/A</v>
      </c>
      <c r="K55" s="97" t="e">
        <f>IF(OR(ISBLANK('Precision '!$I$46),COUNT('Precision '!$D$21:$M$21)&lt;'P Calc'!$N$21,'Precision '!$I$49="Y"),NA(),'P Calc'!$N$21+0.1)</f>
        <v>#N/A</v>
      </c>
      <c r="L55" s="97" t="e">
        <f>IF(OR(ISBLANK('Precision '!$I$46),COUNT('Precision '!$D$21:$M$21)&lt;'P Calc'!$N$22,'Precision '!$I$49="Y"),NA(),'P Calc'!$N$22+0.1)</f>
        <v>#N/A</v>
      </c>
      <c r="M55" s="139" t="e">
        <f>IF(OR(ISBLANK('Precision '!$T$46),COUNT('Precision '!$N$21:$W$21)&lt;'P Calc'!$N$23,'Precision '!$T$49="Y"),NA(),'P Calc'!$N$23+0.1)</f>
        <v>#N/A</v>
      </c>
      <c r="N55" s="45" t="e">
        <f>IF(OR(ISBLANK('Precision '!$T$46),COUNT('Precision '!$N$21:$W$21)&lt;'P Calc'!$N$24,'Precision '!$T$49="Y"),NA(),'P Calc'!$N$24+0.1)</f>
        <v>#N/A</v>
      </c>
      <c r="O55" s="45" t="e">
        <f>IF(OR(ISBLANK('Precision '!$T$46),COUNT('Precision '!$N$21:$W$21)&lt;'P Calc'!$N$25,'Precision '!$T$49="Y"),NA(),'P Calc'!$N$25+0.1)</f>
        <v>#N/A</v>
      </c>
      <c r="P55" s="45" t="e">
        <f>IF(OR(ISBLANK('Precision '!$T$46),COUNT('Precision '!$N$21:$W$21)&lt;'P Calc'!$N$26,'Precision '!$T$49="Y"),NA(),'P Calc'!$N$26+0.1)</f>
        <v>#N/A</v>
      </c>
      <c r="Q55" s="45" t="e">
        <f>IF(OR(ISBLANK('Precision '!$T$46),COUNT('Precision '!$N$21:$W$21)&lt;'P Calc'!$N$27,'Precision '!$T$49="Y"),NA(),'P Calc'!$N$27+0.1)</f>
        <v>#N/A</v>
      </c>
      <c r="R55" s="45" t="e">
        <f>IF(OR(ISBLANK('Precision '!$T$46),COUNT('Precision '!$N$21:$W$21)&lt;'P Calc'!$N$28,'Precision '!$T$49="Y"),NA(),'P Calc'!$N$28+0.1)</f>
        <v>#N/A</v>
      </c>
      <c r="S55" s="45" t="e">
        <f>IF(OR(ISBLANK('Precision '!$T$46),COUNT('Precision '!$N$21:$W$21)&lt;'P Calc'!$N$29,'Precision '!$T$49="Y"),NA(),'P Calc'!$N$29+0.1)</f>
        <v>#N/A</v>
      </c>
      <c r="T55" s="45" t="e">
        <f>IF(OR(ISBLANK('Precision '!$T$46),COUNT('Precision '!$N$21:$W$21)&lt;'P Calc'!$N$30,'Precision '!$T$49="Y"),NA(),'P Calc'!$N$30+0.1)</f>
        <v>#N/A</v>
      </c>
      <c r="U55" s="45" t="e">
        <f>IF(OR(ISBLANK('Precision '!$T$46),COUNT('Precision '!$N$21:$W$21)&lt;'P Calc'!$N$31,'Precision '!$T$49="Y"),NA(),'P Calc'!$N$31+0.1)</f>
        <v>#N/A</v>
      </c>
      <c r="V55" s="45" t="e">
        <f>IF(OR(ISBLANK('Precision '!$T$46),COUNT('Precision '!$N$21:$W$21)&lt;'P Calc'!$N$32,'Precision '!$T$49="Y"),NA(),'P Calc'!$N$32+0.1)</f>
        <v>#N/A</v>
      </c>
      <c r="X55" s="42"/>
      <c r="Y55" s="42"/>
    </row>
    <row r="56" spans="3:25" x14ac:dyDescent="0.2">
      <c r="C56" s="67" t="e">
        <f>IF(OR(ISBLANK('Precision '!$I$46),COUNT('Precision '!$D$21:$M$21)&lt;'P Calc'!$N$13,'Precision '!$I$49="Y"),NA(),'P Calc'!$N$13+0.1)</f>
        <v>#N/A</v>
      </c>
      <c r="D56" s="97" t="e">
        <f>IF(OR(ISBLANK('Precision '!$I$46),COUNT('Precision '!$D$21:$M$21)&lt;'P Calc'!$N$14,'Precision '!$I$49="Y"),NA(),'P Calc'!$N$14+0.1)</f>
        <v>#N/A</v>
      </c>
      <c r="E56" s="97" t="e">
        <f>IF(OR(ISBLANK('Precision '!$I$46),COUNT('Precision '!$D$21:$M$21)&lt;'P Calc'!$N$15,'Precision '!$I$49="Y"),NA(),'P Calc'!$N$15+0.1)</f>
        <v>#N/A</v>
      </c>
      <c r="F56" s="97" t="e">
        <f>IF(OR(ISBLANK('Precision '!$I$46),COUNT('Precision '!$D$21:$M$21)&lt;'P Calc'!$N$16,'Precision '!$I$49="Y"),NA(),'P Calc'!$N$16+0.1)</f>
        <v>#N/A</v>
      </c>
      <c r="G56" s="97" t="e">
        <f>IF(OR(ISBLANK('Precision '!$I$46),COUNT('Precision '!$D$21:$M$21)&lt;'P Calc'!$N$17,'Precision '!$I$49="Y"),NA(),'P Calc'!$N$17+0.1)</f>
        <v>#N/A</v>
      </c>
      <c r="H56" s="97" t="e">
        <f>IF(OR(ISBLANK('Precision '!$I$46),COUNT('Precision '!$D$21:$M$21)&lt;'P Calc'!$N$18,'Precision '!$I$49="Y"),NA(),'P Calc'!$N$18+0.1)</f>
        <v>#N/A</v>
      </c>
      <c r="I56" s="97" t="e">
        <f>IF(OR(ISBLANK('Precision '!$I$46),COUNT('Precision '!$D$21:$M$21)&lt;'P Calc'!$N$19,'Precision '!$I$49="Y"),NA(),'P Calc'!$N$19+0.1)</f>
        <v>#N/A</v>
      </c>
      <c r="J56" s="97" t="e">
        <f>IF(OR(ISBLANK('Precision '!$I$46),COUNT('Precision '!$D$21:$M$21)&lt;'P Calc'!$N$20,'Precision '!$I$49="Y"),NA(),'P Calc'!$N$20+0.1)</f>
        <v>#N/A</v>
      </c>
      <c r="K56" s="97" t="e">
        <f>IF(OR(ISBLANK('Precision '!$I$46),COUNT('Precision '!$D$21:$M$21)&lt;'P Calc'!$N$21,'Precision '!$I$49="Y"),NA(),'P Calc'!$N$21+0.1)</f>
        <v>#N/A</v>
      </c>
      <c r="L56" s="97" t="e">
        <f>IF(OR(ISBLANK('Precision '!$I$46),COUNT('Precision '!$D$21:$M$21)&lt;'P Calc'!$N$22,'Precision '!$I$49="Y"),NA(),'P Calc'!$N$22+0.1)</f>
        <v>#N/A</v>
      </c>
      <c r="M56" s="139" t="e">
        <f>IF(OR(ISBLANK('Precision '!$T$46),COUNT('Precision '!$N$21:$W$21)&lt;'P Calc'!$N$23,'Precision '!$T$49="Y"),NA(),'P Calc'!$N$23+0.1)</f>
        <v>#N/A</v>
      </c>
      <c r="N56" s="45" t="e">
        <f>IF(OR(ISBLANK('Precision '!$T$46),COUNT('Precision '!$N$21:$W$21)&lt;'P Calc'!$N$24,'Precision '!$T$49="Y"),NA(),'P Calc'!$N$24+0.1)</f>
        <v>#N/A</v>
      </c>
      <c r="O56" s="45" t="e">
        <f>IF(OR(ISBLANK('Precision '!$T$46),COUNT('Precision '!$N$21:$W$21)&lt;'P Calc'!$N$25,'Precision '!$T$49="Y"),NA(),'P Calc'!$N$25+0.1)</f>
        <v>#N/A</v>
      </c>
      <c r="P56" s="45" t="e">
        <f>IF(OR(ISBLANK('Precision '!$T$46),COUNT('Precision '!$N$21:$W$21)&lt;'P Calc'!$N$26,'Precision '!$T$49="Y"),NA(),'P Calc'!$N$26+0.1)</f>
        <v>#N/A</v>
      </c>
      <c r="Q56" s="45" t="e">
        <f>IF(OR(ISBLANK('Precision '!$T$46),COUNT('Precision '!$N$21:$W$21)&lt;'P Calc'!$N$27,'Precision '!$T$49="Y"),NA(),'P Calc'!$N$27+0.1)</f>
        <v>#N/A</v>
      </c>
      <c r="R56" s="45" t="e">
        <f>IF(OR(ISBLANK('Precision '!$T$46),COUNT('Precision '!$N$21:$W$21)&lt;'P Calc'!$N$28,'Precision '!$T$49="Y"),NA(),'P Calc'!$N$28+0.1)</f>
        <v>#N/A</v>
      </c>
      <c r="S56" s="45" t="e">
        <f>IF(OR(ISBLANK('Precision '!$T$46),COUNT('Precision '!$N$21:$W$21)&lt;'P Calc'!$N$29,'Precision '!$T$49="Y"),NA(),'P Calc'!$N$29+0.1)</f>
        <v>#N/A</v>
      </c>
      <c r="T56" s="45" t="e">
        <f>IF(OR(ISBLANK('Precision '!$T$46),COUNT('Precision '!$N$21:$W$21)&lt;'P Calc'!$N$30,'Precision '!$T$49="Y"),NA(),'P Calc'!$N$30+0.1)</f>
        <v>#N/A</v>
      </c>
      <c r="U56" s="45" t="e">
        <f>IF(OR(ISBLANK('Precision '!$T$46),COUNT('Precision '!$N$21:$W$21)&lt;'P Calc'!$N$31,'Precision '!$T$49="Y"),NA(),'P Calc'!$N$31+0.1)</f>
        <v>#N/A</v>
      </c>
      <c r="V56" s="45" t="e">
        <f>IF(OR(ISBLANK('Precision '!$T$46),COUNT('Precision '!$N$21:$W$21)&lt;'P Calc'!$N$32,'Precision '!$T$49="Y"),NA(),'P Calc'!$N$32+0.1)</f>
        <v>#N/A</v>
      </c>
      <c r="X56" s="42"/>
      <c r="Y56" s="42"/>
    </row>
    <row r="57" spans="3:25" x14ac:dyDescent="0.2">
      <c r="C57" s="67" t="e">
        <f>IF(OR(ISBLANK('Precision '!$I$46),COUNT('Precision '!$D$21:$M$21)&lt;'P Calc'!$N$13,'Precision '!$I$49="Y"),NA(),'P Calc'!$N$13+0.1)</f>
        <v>#N/A</v>
      </c>
      <c r="D57" s="97" t="e">
        <f>IF(OR(ISBLANK('Precision '!$I$46),COUNT('Precision '!$D$21:$M$21)&lt;'P Calc'!$N$14,'Precision '!$I$49="Y"),NA(),'P Calc'!$N$14+0.1)</f>
        <v>#N/A</v>
      </c>
      <c r="E57" s="97" t="e">
        <f>IF(OR(ISBLANK('Precision '!$I$46),COUNT('Precision '!$D$21:$M$21)&lt;'P Calc'!$N$15,'Precision '!$I$49="Y"),NA(),'P Calc'!$N$15+0.1)</f>
        <v>#N/A</v>
      </c>
      <c r="F57" s="97" t="e">
        <f>IF(OR(ISBLANK('Precision '!$I$46),COUNT('Precision '!$D$21:$M$21)&lt;'P Calc'!$N$16,'Precision '!$I$49="Y"),NA(),'P Calc'!$N$16+0.1)</f>
        <v>#N/A</v>
      </c>
      <c r="G57" s="97" t="e">
        <f>IF(OR(ISBLANK('Precision '!$I$46),COUNT('Precision '!$D$21:$M$21)&lt;'P Calc'!$N$17,'Precision '!$I$49="Y"),NA(),'P Calc'!$N$17+0.1)</f>
        <v>#N/A</v>
      </c>
      <c r="H57" s="97" t="e">
        <f>IF(OR(ISBLANK('Precision '!$I$46),COUNT('Precision '!$D$21:$M$21)&lt;'P Calc'!$N$18,'Precision '!$I$49="Y"),NA(),'P Calc'!$N$18+0.1)</f>
        <v>#N/A</v>
      </c>
      <c r="I57" s="97" t="e">
        <f>IF(OR(ISBLANK('Precision '!$I$46),COUNT('Precision '!$D$21:$M$21)&lt;'P Calc'!$N$19,'Precision '!$I$49="Y"),NA(),'P Calc'!$N$19+0.1)</f>
        <v>#N/A</v>
      </c>
      <c r="J57" s="97" t="e">
        <f>IF(OR(ISBLANK('Precision '!$I$46),COUNT('Precision '!$D$21:$M$21)&lt;'P Calc'!$N$20,'Precision '!$I$49="Y"),NA(),'P Calc'!$N$20+0.1)</f>
        <v>#N/A</v>
      </c>
      <c r="K57" s="97" t="e">
        <f>IF(OR(ISBLANK('Precision '!$I$46),COUNT('Precision '!$D$21:$M$21)&lt;'P Calc'!$N$21,'Precision '!$I$49="Y"),NA(),'P Calc'!$N$21+0.1)</f>
        <v>#N/A</v>
      </c>
      <c r="L57" s="97" t="e">
        <f>IF(OR(ISBLANK('Precision '!$I$46),COUNT('Precision '!$D$21:$M$21)&lt;'P Calc'!$N$22,'Precision '!$I$49="Y"),NA(),'P Calc'!$N$22+0.1)</f>
        <v>#N/A</v>
      </c>
      <c r="M57" s="139" t="e">
        <f>IF(OR(ISBLANK('Precision '!$T$46),COUNT('Precision '!$N$21:$W$21)&lt;'P Calc'!$N$23,'Precision '!$T$49="Y"),NA(),'P Calc'!$N$23+0.1)</f>
        <v>#N/A</v>
      </c>
      <c r="N57" s="45" t="e">
        <f>IF(OR(ISBLANK('Precision '!$T$46),COUNT('Precision '!$N$21:$W$21)&lt;'P Calc'!$N$24,'Precision '!$T$49="Y"),NA(),'P Calc'!$N$24+0.1)</f>
        <v>#N/A</v>
      </c>
      <c r="O57" s="45" t="e">
        <f>IF(OR(ISBLANK('Precision '!$T$46),COUNT('Precision '!$N$21:$W$21)&lt;'P Calc'!$N$25,'Precision '!$T$49="Y"),NA(),'P Calc'!$N$25+0.1)</f>
        <v>#N/A</v>
      </c>
      <c r="P57" s="45" t="e">
        <f>IF(OR(ISBLANK('Precision '!$T$46),COUNT('Precision '!$N$21:$W$21)&lt;'P Calc'!$N$26,'Precision '!$T$49="Y"),NA(),'P Calc'!$N$26+0.1)</f>
        <v>#N/A</v>
      </c>
      <c r="Q57" s="45" t="e">
        <f>IF(OR(ISBLANK('Precision '!$T$46),COUNT('Precision '!$N$21:$W$21)&lt;'P Calc'!$N$27,'Precision '!$T$49="Y"),NA(),'P Calc'!$N$27+0.1)</f>
        <v>#N/A</v>
      </c>
      <c r="R57" s="45" t="e">
        <f>IF(OR(ISBLANK('Precision '!$T$46),COUNT('Precision '!$N$21:$W$21)&lt;'P Calc'!$N$28,'Precision '!$T$49="Y"),NA(),'P Calc'!$N$28+0.1)</f>
        <v>#N/A</v>
      </c>
      <c r="S57" s="45" t="e">
        <f>IF(OR(ISBLANK('Precision '!$T$46),COUNT('Precision '!$N$21:$W$21)&lt;'P Calc'!$N$29,'Precision '!$T$49="Y"),NA(),'P Calc'!$N$29+0.1)</f>
        <v>#N/A</v>
      </c>
      <c r="T57" s="45" t="e">
        <f>IF(OR(ISBLANK('Precision '!$T$46),COUNT('Precision '!$N$21:$W$21)&lt;'P Calc'!$N$30,'Precision '!$T$49="Y"),NA(),'P Calc'!$N$30+0.1)</f>
        <v>#N/A</v>
      </c>
      <c r="U57" s="45" t="e">
        <f>IF(OR(ISBLANK('Precision '!$T$46),COUNT('Precision '!$N$21:$W$21)&lt;'P Calc'!$N$31,'Precision '!$T$49="Y"),NA(),'P Calc'!$N$31+0.1)</f>
        <v>#N/A</v>
      </c>
      <c r="V57" s="45" t="e">
        <f>IF(OR(ISBLANK('Precision '!$T$46),COUNT('Precision '!$N$21:$W$21)&lt;'P Calc'!$N$32,'Precision '!$T$49="Y"),NA(),'P Calc'!$N$32+0.1)</f>
        <v>#N/A</v>
      </c>
      <c r="Y57" s="42"/>
    </row>
    <row r="58" spans="3:25" x14ac:dyDescent="0.2">
      <c r="C58" s="67" t="e">
        <f>IF(OR(ISBLANK('Precision '!$I$46),COUNT('Precision '!$D$21:$M$21)&lt;'P Calc'!$N$13,'Precision '!$I$49="Y"),NA(),'P Calc'!$N$13+0.1)</f>
        <v>#N/A</v>
      </c>
      <c r="D58" s="97" t="e">
        <f>IF(OR(ISBLANK('Precision '!$I$46),COUNT('Precision '!$D$21:$M$21)&lt;'P Calc'!$N$14,'Precision '!$I$49="Y"),NA(),'P Calc'!$N$14+0.1)</f>
        <v>#N/A</v>
      </c>
      <c r="E58" s="97" t="e">
        <f>IF(OR(ISBLANK('Precision '!$I$46),COUNT('Precision '!$D$21:$M$21)&lt;'P Calc'!$N$15,'Precision '!$I$49="Y"),NA(),'P Calc'!$N$15+0.1)</f>
        <v>#N/A</v>
      </c>
      <c r="F58" s="97" t="e">
        <f>IF(OR(ISBLANK('Precision '!$I$46),COUNT('Precision '!$D$21:$M$21)&lt;'P Calc'!$N$16,'Precision '!$I$49="Y"),NA(),'P Calc'!$N$16+0.1)</f>
        <v>#N/A</v>
      </c>
      <c r="G58" s="97" t="e">
        <f>IF(OR(ISBLANK('Precision '!$I$46),COUNT('Precision '!$D$21:$M$21)&lt;'P Calc'!$N$17,'Precision '!$I$49="Y"),NA(),'P Calc'!$N$17+0.1)</f>
        <v>#N/A</v>
      </c>
      <c r="H58" s="97" t="e">
        <f>IF(OR(ISBLANK('Precision '!$I$46),COUNT('Precision '!$D$21:$M$21)&lt;'P Calc'!$N$18,'Precision '!$I$49="Y"),NA(),'P Calc'!$N$18+0.1)</f>
        <v>#N/A</v>
      </c>
      <c r="I58" s="97" t="e">
        <f>IF(OR(ISBLANK('Precision '!$I$46),COUNT('Precision '!$D$21:$M$21)&lt;'P Calc'!$N$19,'Precision '!$I$49="Y"),NA(),'P Calc'!$N$19+0.1)</f>
        <v>#N/A</v>
      </c>
      <c r="J58" s="97" t="e">
        <f>IF(OR(ISBLANK('Precision '!$I$46),COUNT('Precision '!$D$21:$M$21)&lt;'P Calc'!$N$20,'Precision '!$I$49="Y"),NA(),'P Calc'!$N$20+0.1)</f>
        <v>#N/A</v>
      </c>
      <c r="K58" s="97" t="e">
        <f>IF(OR(ISBLANK('Precision '!$I$46),COUNT('Precision '!$D$21:$M$21)&lt;'P Calc'!$N$21,'Precision '!$I$49="Y"),NA(),'P Calc'!$N$21+0.1)</f>
        <v>#N/A</v>
      </c>
      <c r="L58" s="97" t="e">
        <f>IF(OR(ISBLANK('Precision '!$I$46),COUNT('Precision '!$D$21:$M$21)&lt;'P Calc'!$N$22,'Precision '!$I$49="Y"),NA(),'P Calc'!$N$22+0.1)</f>
        <v>#N/A</v>
      </c>
      <c r="M58" s="139" t="e">
        <f>IF(OR(ISBLANK('Precision '!$T$46),COUNT('Precision '!$N$21:$W$21)&lt;'P Calc'!$N$23,'Precision '!$T$49="Y"),NA(),'P Calc'!$N$23+0.1)</f>
        <v>#N/A</v>
      </c>
      <c r="N58" s="45" t="e">
        <f>IF(OR(ISBLANK('Precision '!$T$46),COUNT('Precision '!$N$21:$W$21)&lt;'P Calc'!$N$24,'Precision '!$T$49="Y"),NA(),'P Calc'!$N$24+0.1)</f>
        <v>#N/A</v>
      </c>
      <c r="O58" s="45" t="e">
        <f>IF(OR(ISBLANK('Precision '!$T$46),COUNT('Precision '!$N$21:$W$21)&lt;'P Calc'!$N$25,'Precision '!$T$49="Y"),NA(),'P Calc'!$N$25+0.1)</f>
        <v>#N/A</v>
      </c>
      <c r="P58" s="45" t="e">
        <f>IF(OR(ISBLANK('Precision '!$T$46),COUNT('Precision '!$N$21:$W$21)&lt;'P Calc'!$N$26,'Precision '!$T$49="Y"),NA(),'P Calc'!$N$26+0.1)</f>
        <v>#N/A</v>
      </c>
      <c r="Q58" s="45" t="e">
        <f>IF(OR(ISBLANK('Precision '!$T$46),COUNT('Precision '!$N$21:$W$21)&lt;'P Calc'!$N$27,'Precision '!$T$49="Y"),NA(),'P Calc'!$N$27+0.1)</f>
        <v>#N/A</v>
      </c>
      <c r="R58" s="45" t="e">
        <f>IF(OR(ISBLANK('Precision '!$T$46),COUNT('Precision '!$N$21:$W$21)&lt;'P Calc'!$N$28,'Precision '!$T$49="Y"),NA(),'P Calc'!$N$28+0.1)</f>
        <v>#N/A</v>
      </c>
      <c r="S58" s="45" t="e">
        <f>IF(OR(ISBLANK('Precision '!$T$46),COUNT('Precision '!$N$21:$W$21)&lt;'P Calc'!$N$29,'Precision '!$T$49="Y"),NA(),'P Calc'!$N$29+0.1)</f>
        <v>#N/A</v>
      </c>
      <c r="T58" s="45" t="e">
        <f>IF(OR(ISBLANK('Precision '!$T$46),COUNT('Precision '!$N$21:$W$21)&lt;'P Calc'!$N$30,'Precision '!$T$49="Y"),NA(),'P Calc'!$N$30+0.1)</f>
        <v>#N/A</v>
      </c>
      <c r="U58" s="45" t="e">
        <f>IF(OR(ISBLANK('Precision '!$T$46),COUNT('Precision '!$N$21:$W$21)&lt;'P Calc'!$N$31,'Precision '!$T$49="Y"),NA(),'P Calc'!$N$31+0.1)</f>
        <v>#N/A</v>
      </c>
      <c r="V58" s="45" t="e">
        <f>IF(OR(ISBLANK('Precision '!$T$46),COUNT('Precision '!$N$21:$W$21)&lt;'P Calc'!$N$32,'Precision '!$T$49="Y"),NA(),'P Calc'!$N$32+0.1)</f>
        <v>#N/A</v>
      </c>
      <c r="Y58" s="42"/>
    </row>
    <row r="59" spans="3:25" x14ac:dyDescent="0.2">
      <c r="C59" s="67" t="e">
        <f>IF(OR(ISBLANK('Precision '!$I$46),COUNT('Precision '!$D$21:$M$21)&lt;'P Calc'!$N$13,'Precision '!$I$49="Y"),NA(),'P Calc'!$N$13+0.1)</f>
        <v>#N/A</v>
      </c>
      <c r="D59" s="97" t="e">
        <f>IF(OR(ISBLANK('Precision '!$I$46),COUNT('Precision '!$D$21:$M$21)&lt;'P Calc'!$N$14,'Precision '!$I$49="Y"),NA(),'P Calc'!$N$14+0.1)</f>
        <v>#N/A</v>
      </c>
      <c r="E59" s="97" t="e">
        <f>IF(OR(ISBLANK('Precision '!$I$46),COUNT('Precision '!$D$21:$M$21)&lt;'P Calc'!$N$15,'Precision '!$I$49="Y"),NA(),'P Calc'!$N$15+0.1)</f>
        <v>#N/A</v>
      </c>
      <c r="F59" s="97" t="e">
        <f>IF(OR(ISBLANK('Precision '!$I$46),COUNT('Precision '!$D$21:$M$21)&lt;'P Calc'!$N$16,'Precision '!$I$49="Y"),NA(),'P Calc'!$N$16+0.1)</f>
        <v>#N/A</v>
      </c>
      <c r="G59" s="97" t="e">
        <f>IF(OR(ISBLANK('Precision '!$I$46),COUNT('Precision '!$D$21:$M$21)&lt;'P Calc'!$N$17,'Precision '!$I$49="Y"),NA(),'P Calc'!$N$17+0.1)</f>
        <v>#N/A</v>
      </c>
      <c r="H59" s="97" t="e">
        <f>IF(OR(ISBLANK('Precision '!$I$46),COUNT('Precision '!$D$21:$M$21)&lt;'P Calc'!$N$18,'Precision '!$I$49="Y"),NA(),'P Calc'!$N$18+0.1)</f>
        <v>#N/A</v>
      </c>
      <c r="I59" s="97" t="e">
        <f>IF(OR(ISBLANK('Precision '!$I$46),COUNT('Precision '!$D$21:$M$21)&lt;'P Calc'!$N$19,'Precision '!$I$49="Y"),NA(),'P Calc'!$N$19+0.1)</f>
        <v>#N/A</v>
      </c>
      <c r="J59" s="97" t="e">
        <f>IF(OR(ISBLANK('Precision '!$I$46),COUNT('Precision '!$D$21:$M$21)&lt;'P Calc'!$N$20,'Precision '!$I$49="Y"),NA(),'P Calc'!$N$20+0.1)</f>
        <v>#N/A</v>
      </c>
      <c r="K59" s="97" t="e">
        <f>IF(OR(ISBLANK('Precision '!$I$46),COUNT('Precision '!$D$21:$M$21)&lt;'P Calc'!$N$21,'Precision '!$I$49="Y"),NA(),'P Calc'!$N$21+0.1)</f>
        <v>#N/A</v>
      </c>
      <c r="L59" s="97" t="e">
        <f>IF(OR(ISBLANK('Precision '!$I$46),COUNT('Precision '!$D$21:$M$21)&lt;'P Calc'!$N$22,'Precision '!$I$49="Y"),NA(),'P Calc'!$N$22+0.1)</f>
        <v>#N/A</v>
      </c>
      <c r="M59" s="139" t="e">
        <f>IF(OR(ISBLANK('Precision '!$T$46),COUNT('Precision '!$N$21:$W$21)&lt;'P Calc'!$N$23,'Precision '!$T$49="Y"),NA(),'P Calc'!$N$23+0.1)</f>
        <v>#N/A</v>
      </c>
      <c r="N59" s="45" t="e">
        <f>IF(OR(ISBLANK('Precision '!$T$46),COUNT('Precision '!$N$21:$W$21)&lt;'P Calc'!$N$24,'Precision '!$T$49="Y"),NA(),'P Calc'!$N$24+0.1)</f>
        <v>#N/A</v>
      </c>
      <c r="O59" s="45" t="e">
        <f>IF(OR(ISBLANK('Precision '!$T$46),COUNT('Precision '!$N$21:$W$21)&lt;'P Calc'!$N$25,'Precision '!$T$49="Y"),NA(),'P Calc'!$N$25+0.1)</f>
        <v>#N/A</v>
      </c>
      <c r="P59" s="45" t="e">
        <f>IF(OR(ISBLANK('Precision '!$T$46),COUNT('Precision '!$N$21:$W$21)&lt;'P Calc'!$N$26,'Precision '!$T$49="Y"),NA(),'P Calc'!$N$26+0.1)</f>
        <v>#N/A</v>
      </c>
      <c r="Q59" s="45" t="e">
        <f>IF(OR(ISBLANK('Precision '!$T$46),COUNT('Precision '!$N$21:$W$21)&lt;'P Calc'!$N$27,'Precision '!$T$49="Y"),NA(),'P Calc'!$N$27+0.1)</f>
        <v>#N/A</v>
      </c>
      <c r="R59" s="45" t="e">
        <f>IF(OR(ISBLANK('Precision '!$T$46),COUNT('Precision '!$N$21:$W$21)&lt;'P Calc'!$N$28,'Precision '!$T$49="Y"),NA(),'P Calc'!$N$28+0.1)</f>
        <v>#N/A</v>
      </c>
      <c r="S59" s="45" t="e">
        <f>IF(OR(ISBLANK('Precision '!$T$46),COUNT('Precision '!$N$21:$W$21)&lt;'P Calc'!$N$29,'Precision '!$T$49="Y"),NA(),'P Calc'!$N$29+0.1)</f>
        <v>#N/A</v>
      </c>
      <c r="T59" s="45" t="e">
        <f>IF(OR(ISBLANK('Precision '!$T$46),COUNT('Precision '!$N$21:$W$21)&lt;'P Calc'!$N$30,'Precision '!$T$49="Y"),NA(),'P Calc'!$N$30+0.1)</f>
        <v>#N/A</v>
      </c>
      <c r="U59" s="45" t="e">
        <f>IF(OR(ISBLANK('Precision '!$T$46),COUNT('Precision '!$N$21:$W$21)&lt;'P Calc'!$N$31,'Precision '!$T$49="Y"),NA(),'P Calc'!$N$31+0.1)</f>
        <v>#N/A</v>
      </c>
      <c r="V59" s="45" t="e">
        <f>IF(OR(ISBLANK('Precision '!$T$46),COUNT('Precision '!$N$21:$W$21)&lt;'P Calc'!$N$32,'Precision '!$T$49="Y"),NA(),'P Calc'!$N$32+0.1)</f>
        <v>#N/A</v>
      </c>
      <c r="Y59" s="42"/>
    </row>
    <row r="60" spans="3:25" x14ac:dyDescent="0.2">
      <c r="C60" s="67" t="e">
        <f>IF(OR(ISBLANK('Precision '!$I$46),COUNT('Precision '!$D$21:$M$21)&lt;'P Calc'!$N$13,'Precision '!$I$49="Y"),NA(),'P Calc'!$N$13+0.1)</f>
        <v>#N/A</v>
      </c>
      <c r="D60" s="97" t="e">
        <f>IF(OR(ISBLANK('Precision '!$I$46),COUNT('Precision '!$D$21:$M$21)&lt;'P Calc'!$N$14,'Precision '!$I$49="Y"),NA(),'P Calc'!$N$14+0.1)</f>
        <v>#N/A</v>
      </c>
      <c r="E60" s="97" t="e">
        <f>IF(OR(ISBLANK('Precision '!$I$46),COUNT('Precision '!$D$21:$M$21)&lt;'P Calc'!$N$15,'Precision '!$I$49="Y"),NA(),'P Calc'!$N$15+0.1)</f>
        <v>#N/A</v>
      </c>
      <c r="F60" s="97" t="e">
        <f>IF(OR(ISBLANK('Precision '!$I$46),COUNT('Precision '!$D$21:$M$21)&lt;'P Calc'!$N$16,'Precision '!$I$49="Y"),NA(),'P Calc'!$N$16+0.1)</f>
        <v>#N/A</v>
      </c>
      <c r="G60" s="97" t="e">
        <f>IF(OR(ISBLANK('Precision '!$I$46),COUNT('Precision '!$D$21:$M$21)&lt;'P Calc'!$N$17,'Precision '!$I$49="Y"),NA(),'P Calc'!$N$17+0.1)</f>
        <v>#N/A</v>
      </c>
      <c r="H60" s="97" t="e">
        <f>IF(OR(ISBLANK('Precision '!$I$46),COUNT('Precision '!$D$21:$M$21)&lt;'P Calc'!$N$18,'Precision '!$I$49="Y"),NA(),'P Calc'!$N$18+0.1)</f>
        <v>#N/A</v>
      </c>
      <c r="I60" s="97" t="e">
        <f>IF(OR(ISBLANK('Precision '!$I$46),COUNT('Precision '!$D$21:$M$21)&lt;'P Calc'!$N$19,'Precision '!$I$49="Y"),NA(),'P Calc'!$N$19+0.1)</f>
        <v>#N/A</v>
      </c>
      <c r="J60" s="97" t="e">
        <f>IF(OR(ISBLANK('Precision '!$I$46),COUNT('Precision '!$D$21:$M$21)&lt;'P Calc'!$N$20,'Precision '!$I$49="Y"),NA(),'P Calc'!$N$20+0.1)</f>
        <v>#N/A</v>
      </c>
      <c r="K60" s="97" t="e">
        <f>IF(OR(ISBLANK('Precision '!$I$46),COUNT('Precision '!$D$21:$M$21)&lt;'P Calc'!$N$21,'Precision '!$I$49="Y"),NA(),'P Calc'!$N$21+0.1)</f>
        <v>#N/A</v>
      </c>
      <c r="L60" s="97" t="e">
        <f>IF(OR(ISBLANK('Precision '!$I$46),COUNT('Precision '!$D$21:$M$21)&lt;'P Calc'!$N$22,'Precision '!$I$49="Y"),NA(),'P Calc'!$N$22+0.1)</f>
        <v>#N/A</v>
      </c>
      <c r="M60" s="139" t="e">
        <f>IF(OR(ISBLANK('Precision '!$T$46),COUNT('Precision '!$N$21:$W$21)&lt;'P Calc'!$N$23,'Precision '!$T$49="Y"),NA(),'P Calc'!$N$23+0.1)</f>
        <v>#N/A</v>
      </c>
      <c r="N60" s="45" t="e">
        <f>IF(OR(ISBLANK('Precision '!$T$46),COUNT('Precision '!$N$21:$W$21)&lt;'P Calc'!$N$24,'Precision '!$T$49="Y"),NA(),'P Calc'!$N$24+0.1)</f>
        <v>#N/A</v>
      </c>
      <c r="O60" s="45" t="e">
        <f>IF(OR(ISBLANK('Precision '!$T$46),COUNT('Precision '!$N$21:$W$21)&lt;'P Calc'!$N$25,'Precision '!$T$49="Y"),NA(),'P Calc'!$N$25+0.1)</f>
        <v>#N/A</v>
      </c>
      <c r="P60" s="45" t="e">
        <f>IF(OR(ISBLANK('Precision '!$T$46),COUNT('Precision '!$N$21:$W$21)&lt;'P Calc'!$N$26,'Precision '!$T$49="Y"),NA(),'P Calc'!$N$26+0.1)</f>
        <v>#N/A</v>
      </c>
      <c r="Q60" s="45" t="e">
        <f>IF(OR(ISBLANK('Precision '!$T$46),COUNT('Precision '!$N$21:$W$21)&lt;'P Calc'!$N$27,'Precision '!$T$49="Y"),NA(),'P Calc'!$N$27+0.1)</f>
        <v>#N/A</v>
      </c>
      <c r="R60" s="45" t="e">
        <f>IF(OR(ISBLANK('Precision '!$T$46),COUNT('Precision '!$N$21:$W$21)&lt;'P Calc'!$N$28,'Precision '!$T$49="Y"),NA(),'P Calc'!$N$28+0.1)</f>
        <v>#N/A</v>
      </c>
      <c r="S60" s="45" t="e">
        <f>IF(OR(ISBLANK('Precision '!$T$46),COUNT('Precision '!$N$21:$W$21)&lt;'P Calc'!$N$29,'Precision '!$T$49="Y"),NA(),'P Calc'!$N$29+0.1)</f>
        <v>#N/A</v>
      </c>
      <c r="T60" s="45" t="e">
        <f>IF(OR(ISBLANK('Precision '!$T$46),COUNT('Precision '!$N$21:$W$21)&lt;'P Calc'!$N$30,'Precision '!$T$49="Y"),NA(),'P Calc'!$N$30+0.1)</f>
        <v>#N/A</v>
      </c>
      <c r="U60" s="45" t="e">
        <f>IF(OR(ISBLANK('Precision '!$T$46),COUNT('Precision '!$N$21:$W$21)&lt;'P Calc'!$N$31,'Precision '!$T$49="Y"),NA(),'P Calc'!$N$31+0.1)</f>
        <v>#N/A</v>
      </c>
      <c r="V60" s="45" t="e">
        <f>IF(OR(ISBLANK('Precision '!$T$46),COUNT('Precision '!$N$21:$W$21)&lt;'P Calc'!$N$32,'Precision '!$T$49="Y"),NA(),'P Calc'!$N$32+0.1)</f>
        <v>#N/A</v>
      </c>
      <c r="Y60" s="42"/>
    </row>
    <row r="61" spans="3:25" x14ac:dyDescent="0.2">
      <c r="C61" s="67" t="e">
        <f>IF(OR(ISBLANK('Precision '!$I$46),COUNT('Precision '!$D$21:$M$21)&lt;'P Calc'!$N$13,'Precision '!$I$49="Y"),NA(),'P Calc'!$N$13+0.1)</f>
        <v>#N/A</v>
      </c>
      <c r="D61" s="97" t="e">
        <f>IF(OR(ISBLANK('Precision '!$I$46),COUNT('Precision '!$D$21:$M$21)&lt;'P Calc'!$N$14,'Precision '!$I$49="Y"),NA(),'P Calc'!$N$14+0.1)</f>
        <v>#N/A</v>
      </c>
      <c r="E61" s="97" t="e">
        <f>IF(OR(ISBLANK('Precision '!$I$46),COUNT('Precision '!$D$21:$M$21)&lt;'P Calc'!$N$15,'Precision '!$I$49="Y"),NA(),'P Calc'!$N$15+0.1)</f>
        <v>#N/A</v>
      </c>
      <c r="F61" s="97" t="e">
        <f>IF(OR(ISBLANK('Precision '!$I$46),COUNT('Precision '!$D$21:$M$21)&lt;'P Calc'!$N$16,'Precision '!$I$49="Y"),NA(),'P Calc'!$N$16+0.1)</f>
        <v>#N/A</v>
      </c>
      <c r="G61" s="97" t="e">
        <f>IF(OR(ISBLANK('Precision '!$I$46),COUNT('Precision '!$D$21:$M$21)&lt;'P Calc'!$N$17,'Precision '!$I$49="Y"),NA(),'P Calc'!$N$17+0.1)</f>
        <v>#N/A</v>
      </c>
      <c r="H61" s="97" t="e">
        <f>IF(OR(ISBLANK('Precision '!$I$46),COUNT('Precision '!$D$21:$M$21)&lt;'P Calc'!$N$18,'Precision '!$I$49="Y"),NA(),'P Calc'!$N$18+0.1)</f>
        <v>#N/A</v>
      </c>
      <c r="I61" s="97" t="e">
        <f>IF(OR(ISBLANK('Precision '!$I$46),COUNT('Precision '!$D$21:$M$21)&lt;'P Calc'!$N$19,'Precision '!$I$49="Y"),NA(),'P Calc'!$N$19+0.1)</f>
        <v>#N/A</v>
      </c>
      <c r="J61" s="97" t="e">
        <f>IF(OR(ISBLANK('Precision '!$I$46),COUNT('Precision '!$D$21:$M$21)&lt;'P Calc'!$N$20,'Precision '!$I$49="Y"),NA(),'P Calc'!$N$20+0.1)</f>
        <v>#N/A</v>
      </c>
      <c r="K61" s="97" t="e">
        <f>IF(OR(ISBLANK('Precision '!$I$46),COUNT('Precision '!$D$21:$M$21)&lt;'P Calc'!$N$21,'Precision '!$I$49="Y"),NA(),'P Calc'!$N$21+0.1)</f>
        <v>#N/A</v>
      </c>
      <c r="L61" s="97" t="e">
        <f>IF(OR(ISBLANK('Precision '!$I$46),COUNT('Precision '!$D$21:$M$21)&lt;'P Calc'!$N$22,'Precision '!$I$49="Y"),NA(),'P Calc'!$N$22+0.1)</f>
        <v>#N/A</v>
      </c>
      <c r="M61" s="139" t="e">
        <f>IF(OR(ISBLANK('Precision '!$T$46),COUNT('Precision '!$N$21:$W$21)&lt;'P Calc'!$N$23,'Precision '!$T$49="Y"),NA(),'P Calc'!$N$23+0.1)</f>
        <v>#N/A</v>
      </c>
      <c r="N61" s="45" t="e">
        <f>IF(OR(ISBLANK('Precision '!$T$46),COUNT('Precision '!$N$21:$W$21)&lt;'P Calc'!$N$24,'Precision '!$T$49="Y"),NA(),'P Calc'!$N$24+0.1)</f>
        <v>#N/A</v>
      </c>
      <c r="O61" s="45" t="e">
        <f>IF(OR(ISBLANK('Precision '!$T$46),COUNT('Precision '!$N$21:$W$21)&lt;'P Calc'!$N$25,'Precision '!$T$49="Y"),NA(),'P Calc'!$N$25+0.1)</f>
        <v>#N/A</v>
      </c>
      <c r="P61" s="45" t="e">
        <f>IF(OR(ISBLANK('Precision '!$T$46),COUNT('Precision '!$N$21:$W$21)&lt;'P Calc'!$N$26,'Precision '!$T$49="Y"),NA(),'P Calc'!$N$26+0.1)</f>
        <v>#N/A</v>
      </c>
      <c r="Q61" s="45" t="e">
        <f>IF(OR(ISBLANK('Precision '!$T$46),COUNT('Precision '!$N$21:$W$21)&lt;'P Calc'!$N$27,'Precision '!$T$49="Y"),NA(),'P Calc'!$N$27+0.1)</f>
        <v>#N/A</v>
      </c>
      <c r="R61" s="45" t="e">
        <f>IF(OR(ISBLANK('Precision '!$T$46),COUNT('Precision '!$N$21:$W$21)&lt;'P Calc'!$N$28,'Precision '!$T$49="Y"),NA(),'P Calc'!$N$28+0.1)</f>
        <v>#N/A</v>
      </c>
      <c r="S61" s="45" t="e">
        <f>IF(OR(ISBLANK('Precision '!$T$46),COUNT('Precision '!$N$21:$W$21)&lt;'P Calc'!$N$29,'Precision '!$T$49="Y"),NA(),'P Calc'!$N$29+0.1)</f>
        <v>#N/A</v>
      </c>
      <c r="T61" s="45" t="e">
        <f>IF(OR(ISBLANK('Precision '!$T$46),COUNT('Precision '!$N$21:$W$21)&lt;'P Calc'!$N$30,'Precision '!$T$49="Y"),NA(),'P Calc'!$N$30+0.1)</f>
        <v>#N/A</v>
      </c>
      <c r="U61" s="45" t="e">
        <f>IF(OR(ISBLANK('Precision '!$T$46),COUNT('Precision '!$N$21:$W$21)&lt;'P Calc'!$N$31,'Precision '!$T$49="Y"),NA(),'P Calc'!$N$31+0.1)</f>
        <v>#N/A</v>
      </c>
      <c r="V61" s="45" t="e">
        <f>IF(OR(ISBLANK('Precision '!$T$46),COUNT('Precision '!$N$21:$W$21)&lt;'P Calc'!$N$32,'Precision '!$T$49="Y"),NA(),'P Calc'!$N$32+0.1)</f>
        <v>#N/A</v>
      </c>
      <c r="Y61" s="42"/>
    </row>
    <row r="65" spans="3:15" x14ac:dyDescent="0.2">
      <c r="C65" s="45" t="s">
        <v>142</v>
      </c>
    </row>
    <row r="67" spans="3:15" ht="15" x14ac:dyDescent="0.2">
      <c r="C67" s="45" t="s">
        <v>133</v>
      </c>
      <c r="D67" s="45">
        <f>COUNT('P Calc'!C41:L50)</f>
        <v>0</v>
      </c>
      <c r="M67" s="45">
        <f>COUNT('P Calc'!L41:U50)</f>
        <v>0</v>
      </c>
      <c r="O67" s="149"/>
    </row>
    <row r="68" spans="3:15" ht="15" x14ac:dyDescent="0.2">
      <c r="C68" s="45" t="s">
        <v>136</v>
      </c>
      <c r="D68" s="45">
        <f>'Precision '!Z39/100</f>
        <v>0.05</v>
      </c>
      <c r="E68" s="146"/>
      <c r="F68" s="146"/>
      <c r="G68" s="146"/>
      <c r="H68" s="146"/>
      <c r="I68" s="146"/>
      <c r="J68" s="146"/>
      <c r="K68" s="146"/>
      <c r="M68" s="45">
        <f>'Precision '!AA39/100</f>
        <v>0.05</v>
      </c>
      <c r="N68" s="146"/>
      <c r="O68" s="149"/>
    </row>
    <row r="69" spans="3:15" ht="15" x14ac:dyDescent="0.2">
      <c r="C69" s="45" t="s">
        <v>134</v>
      </c>
      <c r="D69" s="67" t="e">
        <f>TINV(D68/((D67)),D67-2)</f>
        <v>#DIV/0!</v>
      </c>
      <c r="E69" s="67"/>
      <c r="F69" s="67"/>
      <c r="G69" s="67"/>
      <c r="H69" s="67"/>
      <c r="I69" s="67"/>
      <c r="J69" s="67"/>
      <c r="K69" s="67"/>
      <c r="L69" s="67"/>
      <c r="M69" s="67" t="e">
        <f>TINV(M68/((M67)),M67-2)</f>
        <v>#DIV/0!</v>
      </c>
      <c r="N69" s="67"/>
      <c r="O69" s="149"/>
    </row>
    <row r="70" spans="3:15" ht="15" x14ac:dyDescent="0.2">
      <c r="E70" s="67"/>
      <c r="F70" s="67"/>
      <c r="G70" s="67"/>
      <c r="H70" s="67"/>
      <c r="I70" s="67"/>
      <c r="J70" s="67"/>
      <c r="K70" s="67"/>
      <c r="L70" s="67"/>
      <c r="N70" s="67"/>
      <c r="O70" s="149"/>
    </row>
    <row r="71" spans="3:15" ht="15" x14ac:dyDescent="0.2">
      <c r="C71" s="147" t="s">
        <v>135</v>
      </c>
      <c r="D71" s="148" t="e">
        <f>((D67-1)/SQRT(D67))*SQRT(D69^2/(D67-2+D69^2))</f>
        <v>#DIV/0!</v>
      </c>
      <c r="E71" s="151"/>
      <c r="F71" s="42"/>
      <c r="G71" s="42"/>
      <c r="H71" s="42"/>
      <c r="I71" s="42"/>
      <c r="J71" s="42"/>
      <c r="K71" s="42"/>
      <c r="L71" s="67"/>
      <c r="M71" s="148" t="e">
        <f>((M67-1)/SQRT(M67))*SQRT(M69^2/(M67-2+M69^2))</f>
        <v>#DIV/0!</v>
      </c>
      <c r="N71" s="151"/>
      <c r="O71" s="149"/>
    </row>
    <row r="72" spans="3:15" ht="15" x14ac:dyDescent="0.2">
      <c r="C72" s="45" t="s">
        <v>140</v>
      </c>
      <c r="D72" s="67">
        <f>MAX('Precision '!D10:M19)</f>
        <v>0</v>
      </c>
      <c r="E72" s="68" t="e">
        <f>(D72-AVERAGE('Precision '!D10:M19))/STDEV('Precision '!D10:M19)</f>
        <v>#DIV/0!</v>
      </c>
      <c r="F72" s="68"/>
      <c r="G72" s="68"/>
      <c r="H72" s="68"/>
      <c r="I72" s="68"/>
      <c r="J72" s="68"/>
      <c r="K72" s="68"/>
      <c r="M72" s="67">
        <f>MAX('Precision '!N10:W19)</f>
        <v>0</v>
      </c>
      <c r="N72" s="68" t="e">
        <f>(M72-AVERAGE('Precision '!N10:W19))/STDEV('Precision '!N10:W19)</f>
        <v>#DIV/0!</v>
      </c>
      <c r="O72" s="149"/>
    </row>
    <row r="73" spans="3:15" ht="15" x14ac:dyDescent="0.2">
      <c r="C73" s="45" t="s">
        <v>141</v>
      </c>
      <c r="D73" s="150">
        <f>MIN('Precision '!D10:M19)</f>
        <v>0</v>
      </c>
      <c r="E73" s="68" t="e">
        <f>(AVERAGE('Precision '!D10:M19)-D73)/STDEV('Precision '!D10:M19)</f>
        <v>#DIV/0!</v>
      </c>
      <c r="F73" s="68"/>
      <c r="G73" s="42"/>
      <c r="H73" s="42"/>
      <c r="I73" s="42"/>
      <c r="J73" s="42"/>
      <c r="K73" s="42"/>
      <c r="L73" s="67"/>
      <c r="M73" s="150">
        <f>MIN('Precision '!N10:W19)</f>
        <v>0</v>
      </c>
      <c r="N73" s="68" t="e">
        <f>(AVERAGE('Precision '!N10:W19)-M73)/STDEV('Precision '!N10:W19)</f>
        <v>#DIV/0!</v>
      </c>
      <c r="O73" s="149"/>
    </row>
    <row r="74" spans="3:15" x14ac:dyDescent="0.2">
      <c r="E74" s="146"/>
      <c r="N74" s="42"/>
      <c r="O74" s="42"/>
    </row>
    <row r="76" spans="3:15" x14ac:dyDescent="0.2">
      <c r="H76" s="67"/>
    </row>
    <row r="77" spans="3:15" x14ac:dyDescent="0.2">
      <c r="D77" s="67"/>
      <c r="H77" s="67"/>
    </row>
    <row r="78" spans="3:15" x14ac:dyDescent="0.2">
      <c r="E78" s="67"/>
      <c r="F78" s="67"/>
      <c r="G78" s="67"/>
      <c r="H78" s="67"/>
      <c r="I78" s="67"/>
      <c r="J78" s="67"/>
      <c r="K78" s="67"/>
    </row>
    <row r="80" spans="3:15" x14ac:dyDescent="0.2">
      <c r="H80" s="67"/>
    </row>
    <row r="81" spans="8:8" x14ac:dyDescent="0.2">
      <c r="H81" s="67"/>
    </row>
  </sheetData>
  <mergeCells count="3">
    <mergeCell ref="W17:W26"/>
    <mergeCell ref="W27:W36"/>
    <mergeCell ref="I11:J11"/>
  </mergeCells>
  <phoneticPr fontId="0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Precision </vt:lpstr>
      <vt:lpstr>Comments</vt:lpstr>
      <vt:lpstr>P Calc</vt:lpstr>
      <vt:lpstr>'Precision '!Print_Area</vt:lpstr>
    </vt:vector>
  </TitlesOfParts>
  <Company>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Wilkes, Edmund</cp:lastModifiedBy>
  <cp:lastPrinted>2009-05-07T07:47:12Z</cp:lastPrinted>
  <dcterms:created xsi:type="dcterms:W3CDTF">2003-03-15T09:31:47Z</dcterms:created>
  <dcterms:modified xsi:type="dcterms:W3CDTF">2019-04-09T08:26:47Z</dcterms:modified>
</cp:coreProperties>
</file>